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Личное\!ИЗДЕЛИЯ\ДВЕРИ\Артему 04-08-17\продукты\3_фасады\Z\"/>
    </mc:Choice>
  </mc:AlternateContent>
  <bookViews>
    <workbookView xWindow="0" yWindow="0" windowWidth="28800" windowHeight="12330"/>
  </bookViews>
  <sheets>
    <sheet name="Z_фасады_Офис" sheetId="1" r:id="rId1"/>
  </sheets>
  <externalReferences>
    <externalReference r:id="rId2"/>
  </externalReferences>
  <definedNames>
    <definedName name="_xlnm._FilterDatabase" localSheetId="0" hidden="1">Z_фасады_Офис!$A$14:$B$15</definedName>
    <definedName name="ff" localSheetId="0">Z_фасады_Офис!#REF!</definedName>
    <definedName name="ff">[1]Z_фасады_СС!#REF!</definedName>
    <definedName name="MF_20" localSheetId="0">Z_фасады_Офис!$Z$6</definedName>
    <definedName name="MF_30" localSheetId="0">Z_фасады_Офис!$Y$6</definedName>
    <definedName name="MZ_1" localSheetId="0">Z_фасады_Офис!$O$6:$O$16</definedName>
    <definedName name="MZ_10" localSheetId="0">Z_фасады_Офис!$Y$6</definedName>
    <definedName name="MZ_10">#REF!</definedName>
    <definedName name="MZ_12" localSheetId="0">Z_фасады_Офис!$R$6:$R$14</definedName>
    <definedName name="MZ_12_new" localSheetId="0">Z_фасады_Офис!$R$6:$R$13</definedName>
    <definedName name="MZ_13" localSheetId="0">Z_фасады_Офис!$V$6:$V$10</definedName>
    <definedName name="MZ_17" localSheetId="0">Z_фасады_Офис!$U$6:$U$10</definedName>
    <definedName name="MZ_2" localSheetId="0">Z_фасады_Офис!$W$6</definedName>
    <definedName name="MZ_2">#REF!</definedName>
    <definedName name="MZ_3" localSheetId="0">Z_фасады_Офис!$P$6</definedName>
    <definedName name="MZ_4" localSheetId="0">Z_фасады_Офис!$Q$6:$Q$15</definedName>
    <definedName name="MZ_7" localSheetId="0">Z_фасады_Офис!$X$6</definedName>
    <definedName name="MZ_7">#REF!</definedName>
    <definedName name="MZ_9" localSheetId="0">Z_фасады_Офис!$S$6:$S$7</definedName>
    <definedName name="o" localSheetId="0">Z_фасады_Офис!#REF!</definedName>
    <definedName name="o">#REF!</definedName>
    <definedName name="Z_1" localSheetId="0">Z_фасады_Офис!$O$6:$O$15</definedName>
    <definedName name="Z_1">#REF!</definedName>
    <definedName name="Z_12" localSheetId="0">Z_фасады_Офис!$R$6:$R$12</definedName>
    <definedName name="Z_12">#REF!</definedName>
    <definedName name="Z_13" localSheetId="0">Z_фасады_Офис!$V$6</definedName>
    <definedName name="Z_15" localSheetId="0">Z_фасады_Офис!$S$6:$S$11</definedName>
    <definedName name="Z_15">#REF!</definedName>
    <definedName name="Z_1515" localSheetId="0">Z_фасады_Офис!$S$6:$S$10</definedName>
    <definedName name="Z_17" localSheetId="0">Z_фасады_Офис!$U$6:$U$7</definedName>
    <definedName name="Z_17">#REF!</definedName>
    <definedName name="Z_1старый" localSheetId="0">Z_фасады_Офис!$O$6:$O$15</definedName>
    <definedName name="Z_2018" localSheetId="0">Z_фасады_Офис!$T$6</definedName>
    <definedName name="Z_2018">#REF!</definedName>
    <definedName name="Z_3" localSheetId="0">Z_фасады_Офис!$P$6</definedName>
    <definedName name="Z_3">#REF!</definedName>
    <definedName name="Z_4" localSheetId="0">Z_фасады_Офис!$Q$6:$Q$15</definedName>
    <definedName name="Z_4">#REF!</definedName>
    <definedName name="Z_9" localSheetId="0">Z_фасады_Офис!$S$6:$S$7</definedName>
    <definedName name="Z_фасады_офис">#REF!</definedName>
    <definedName name="Z12_new" localSheetId="0">Z_фасады_Офис!$R$6:$R$14</definedName>
    <definedName name="ааааа" localSheetId="0">#REF!</definedName>
    <definedName name="ааааа">#REF!</definedName>
    <definedName name="гравировка" localSheetId="0">Z_фасады_Офис!$G$50:$G$51</definedName>
    <definedName name="гравировка">#REF!</definedName>
    <definedName name="зеркало" localSheetId="0">Z_фасады_Офис!$O$59:$O$62</definedName>
    <definedName name="зеркало">#REF!</definedName>
    <definedName name="камень" localSheetId="0">Z_фасады_Офис!$U$59</definedName>
    <definedName name="камень">#REF!</definedName>
    <definedName name="кожа" localSheetId="0">Z_фасады_Офис!$T$59</definedName>
    <definedName name="кожа">#REF!</definedName>
    <definedName name="лакобель" localSheetId="0">Z_фасады_Офис!$P$59:$P$66</definedName>
    <definedName name="лакобель">#REF!</definedName>
    <definedName name="лакомат" localSheetId="0">Z_фасады_Офис!$Q$59</definedName>
    <definedName name="лакомат">#REF!</definedName>
    <definedName name="мателак" localSheetId="0">Z_фасады_Офис!$G$50:$G$51</definedName>
    <definedName name="мателак">#REF!</definedName>
    <definedName name="модели" localSheetId="0">OFFSET(#REF!,MATCH(#REF!,#REF!,0)-1,1,COUNTIF(#REF!,#REF!),1)  =_xludf.OFFSET(#REF!,_xludf.MATCH(#REF!,#REF!,0)-1,1,_xludf.COUNTIF(#REF!,#REF!),1)</definedName>
    <definedName name="модели">OFFSET(#REF!,MATCH(#REF!,#REF!,0)-1,1,COUNTIF(#REF!,#REF!),1)  =_xludf.OFFSET(#REF!,_xludf.MATCH(#REF!,#REF!,0)-1,1,_xludf.COUNTIF(#REF!,#REF!),1)</definedName>
    <definedName name="окрашенное_стекло" localSheetId="0">Z_фасады_Офис!$R$59:$R$70</definedName>
    <definedName name="окрашенное_стекло">#REF!</definedName>
    <definedName name="пескоструй" localSheetId="0">Z_фасады_Офис!$C$69:$C$72</definedName>
    <definedName name="пескоструй">#REF!</definedName>
    <definedName name="профиль" localSheetId="0">#REF!</definedName>
    <definedName name="профиль">#REF!</definedName>
    <definedName name="серебро" localSheetId="0">Z_фасады_Офис!$S$6:$S$11</definedName>
    <definedName name="СС_калькулятор" localSheetId="0">#REF!</definedName>
    <definedName name="СС_калькулятор">#REF!</definedName>
    <definedName name="стекло" localSheetId="0">Z_фасады_Офис!$N$59:$N$72</definedName>
    <definedName name="стекло">#REF!</definedName>
    <definedName name="фвфыв" localSheetId="0">#REF!</definedName>
    <definedName name="фвфыв">#REF!</definedName>
    <definedName name="фотопечать" localSheetId="0">Z_фасады_Офис!$S$59:$S$62</definedName>
    <definedName name="фотопечать">#REF!</definedName>
    <definedName name="цвет_профиля" localSheetId="0">Z_фасады_Офис!$O$6:$O$17</definedName>
    <definedName name="цвет_профиля2" localSheetId="0">Z_фасады_Офис!$O$6:$O$17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3" i="1" l="1"/>
  <c r="T183" i="1"/>
  <c r="S183" i="1"/>
  <c r="Q183" i="1"/>
  <c r="O183" i="1"/>
  <c r="U182" i="1"/>
  <c r="T182" i="1"/>
  <c r="S182" i="1"/>
  <c r="Q182" i="1"/>
  <c r="O182" i="1"/>
  <c r="U181" i="1"/>
  <c r="R181" i="1"/>
  <c r="Q181" i="1"/>
  <c r="O181" i="1"/>
  <c r="R180" i="1"/>
  <c r="N179" i="1"/>
  <c r="N178" i="1"/>
  <c r="S177" i="1"/>
  <c r="U176" i="1"/>
  <c r="S176" i="1"/>
  <c r="Q176" i="1"/>
  <c r="O176" i="1"/>
  <c r="U175" i="1"/>
  <c r="S175" i="1"/>
  <c r="Q175" i="1"/>
  <c r="O175" i="1"/>
  <c r="U174" i="1"/>
  <c r="Q174" i="1"/>
  <c r="O174" i="1"/>
  <c r="U173" i="1"/>
  <c r="S173" i="1"/>
  <c r="R173" i="1"/>
  <c r="Q173" i="1"/>
  <c r="O173" i="1"/>
  <c r="U172" i="1"/>
  <c r="T172" i="1"/>
  <c r="S172" i="1"/>
  <c r="R172" i="1"/>
  <c r="Q172" i="1"/>
  <c r="O172" i="1"/>
  <c r="U171" i="1"/>
  <c r="T171" i="1"/>
  <c r="S171" i="1"/>
  <c r="R171" i="1"/>
  <c r="Q171" i="1"/>
  <c r="O171" i="1"/>
  <c r="U170" i="1"/>
  <c r="T170" i="1"/>
  <c r="S170" i="1"/>
  <c r="R170" i="1"/>
  <c r="Q170" i="1"/>
  <c r="O170" i="1"/>
  <c r="U169" i="1"/>
  <c r="T169" i="1"/>
  <c r="S169" i="1"/>
  <c r="R169" i="1"/>
  <c r="Q169" i="1"/>
  <c r="O169" i="1"/>
  <c r="U168" i="1"/>
  <c r="S168" i="1"/>
  <c r="R168" i="1"/>
  <c r="Q168" i="1"/>
  <c r="O168" i="1"/>
  <c r="U167" i="1"/>
  <c r="S167" i="1"/>
  <c r="R167" i="1"/>
  <c r="Q167" i="1"/>
  <c r="O167" i="1"/>
  <c r="U166" i="1"/>
  <c r="S166" i="1"/>
  <c r="R166" i="1"/>
  <c r="Q166" i="1"/>
  <c r="O166" i="1"/>
  <c r="U165" i="1"/>
  <c r="S165" i="1"/>
  <c r="R165" i="1"/>
  <c r="Q165" i="1"/>
  <c r="O165" i="1"/>
  <c r="U164" i="1"/>
  <c r="S164" i="1"/>
  <c r="R164" i="1"/>
  <c r="Q164" i="1"/>
  <c r="O164" i="1"/>
  <c r="U163" i="1"/>
  <c r="S163" i="1"/>
  <c r="R163" i="1"/>
  <c r="Q163" i="1"/>
  <c r="O163" i="1"/>
  <c r="U162" i="1"/>
  <c r="S162" i="1"/>
  <c r="R162" i="1"/>
  <c r="Q162" i="1"/>
  <c r="O162" i="1"/>
  <c r="U161" i="1"/>
  <c r="S161" i="1"/>
  <c r="R161" i="1"/>
  <c r="Q161" i="1"/>
  <c r="P161" i="1"/>
  <c r="O161" i="1"/>
  <c r="U160" i="1"/>
  <c r="T160" i="1"/>
  <c r="S160" i="1"/>
  <c r="R160" i="1"/>
  <c r="Q160" i="1"/>
  <c r="P160" i="1"/>
  <c r="O160" i="1"/>
  <c r="U159" i="1"/>
  <c r="T159" i="1"/>
  <c r="S159" i="1"/>
  <c r="R159" i="1"/>
  <c r="Q159" i="1"/>
  <c r="P159" i="1"/>
  <c r="O159" i="1"/>
  <c r="U158" i="1"/>
  <c r="T158" i="1"/>
  <c r="S158" i="1"/>
  <c r="R158" i="1"/>
  <c r="Q158" i="1"/>
  <c r="P158" i="1"/>
  <c r="O158" i="1"/>
  <c r="U157" i="1"/>
  <c r="T157" i="1"/>
  <c r="S157" i="1"/>
  <c r="P157" i="1"/>
  <c r="O157" i="1"/>
  <c r="U156" i="1"/>
  <c r="T156" i="1"/>
  <c r="S156" i="1"/>
  <c r="P156" i="1"/>
  <c r="O156" i="1"/>
  <c r="U155" i="1"/>
  <c r="T155" i="1"/>
  <c r="S155" i="1"/>
  <c r="R155" i="1"/>
  <c r="Q155" i="1"/>
  <c r="P155" i="1"/>
  <c r="O155" i="1"/>
  <c r="U154" i="1"/>
  <c r="T154" i="1"/>
  <c r="Q154" i="1"/>
  <c r="P154" i="1"/>
  <c r="O154" i="1"/>
  <c r="U153" i="1"/>
  <c r="P153" i="1"/>
  <c r="O153" i="1"/>
  <c r="U152" i="1"/>
  <c r="R152" i="1"/>
  <c r="P152" i="1"/>
  <c r="O152" i="1"/>
  <c r="U151" i="1"/>
  <c r="T151" i="1"/>
  <c r="S151" i="1"/>
  <c r="R151" i="1"/>
  <c r="Q151" i="1"/>
  <c r="P151" i="1"/>
  <c r="O151" i="1"/>
  <c r="U150" i="1"/>
  <c r="T150" i="1"/>
  <c r="S150" i="1"/>
  <c r="R150" i="1"/>
  <c r="Q150" i="1"/>
  <c r="P150" i="1"/>
  <c r="O150" i="1"/>
  <c r="N150" i="1"/>
  <c r="U149" i="1"/>
  <c r="T149" i="1"/>
  <c r="S149" i="1"/>
  <c r="R149" i="1"/>
  <c r="Q149" i="1"/>
  <c r="P149" i="1"/>
  <c r="O149" i="1"/>
  <c r="N149" i="1"/>
  <c r="U148" i="1"/>
  <c r="T148" i="1"/>
  <c r="S148" i="1"/>
  <c r="R148" i="1"/>
  <c r="Q148" i="1"/>
  <c r="P148" i="1"/>
  <c r="O148" i="1"/>
  <c r="N148" i="1"/>
  <c r="U147" i="1"/>
  <c r="T147" i="1"/>
  <c r="S147" i="1"/>
  <c r="R147" i="1"/>
  <c r="Q147" i="1"/>
  <c r="P147" i="1"/>
  <c r="O147" i="1"/>
  <c r="N147" i="1"/>
  <c r="U146" i="1"/>
  <c r="T146" i="1"/>
  <c r="S146" i="1"/>
  <c r="R146" i="1"/>
  <c r="Q146" i="1"/>
  <c r="P146" i="1"/>
  <c r="O146" i="1"/>
  <c r="N146" i="1"/>
  <c r="U145" i="1"/>
  <c r="T145" i="1"/>
  <c r="S145" i="1"/>
  <c r="R145" i="1"/>
  <c r="Q145" i="1"/>
  <c r="P145" i="1"/>
  <c r="O145" i="1"/>
  <c r="N145" i="1"/>
  <c r="U144" i="1"/>
  <c r="T144" i="1"/>
  <c r="S144" i="1"/>
  <c r="R144" i="1"/>
  <c r="Q144" i="1"/>
  <c r="O144" i="1"/>
  <c r="N144" i="1"/>
  <c r="U143" i="1"/>
  <c r="T143" i="1"/>
  <c r="S143" i="1"/>
  <c r="R143" i="1"/>
  <c r="Q143" i="1"/>
  <c r="O143" i="1"/>
  <c r="N143" i="1"/>
  <c r="U142" i="1"/>
  <c r="T142" i="1"/>
  <c r="S142" i="1"/>
  <c r="R142" i="1"/>
  <c r="Q142" i="1"/>
  <c r="P142" i="1"/>
  <c r="O142" i="1"/>
  <c r="N142" i="1"/>
  <c r="U140" i="1"/>
  <c r="T140" i="1"/>
  <c r="S140" i="1"/>
  <c r="R140" i="1"/>
  <c r="Q140" i="1"/>
  <c r="P140" i="1"/>
  <c r="O140" i="1"/>
  <c r="N140" i="1"/>
  <c r="U139" i="1"/>
  <c r="T139" i="1"/>
  <c r="R139" i="1"/>
  <c r="Q139" i="1"/>
  <c r="O139" i="1"/>
  <c r="N139" i="1"/>
  <c r="U138" i="1"/>
  <c r="T138" i="1"/>
  <c r="R138" i="1"/>
  <c r="Q138" i="1"/>
  <c r="O138" i="1"/>
  <c r="N138" i="1"/>
  <c r="U133" i="1"/>
  <c r="P102" i="1"/>
  <c r="P98" i="1"/>
  <c r="O94" i="1"/>
  <c r="N90" i="1"/>
  <c r="N86" i="1"/>
  <c r="N82" i="1"/>
  <c r="D78" i="1"/>
  <c r="D76" i="1"/>
  <c r="T132" i="1" s="1"/>
  <c r="D74" i="1"/>
  <c r="Q105" i="1" s="1"/>
  <c r="D72" i="1"/>
  <c r="D71" i="1"/>
  <c r="B71" i="1"/>
  <c r="P104" i="1" s="1"/>
  <c r="D70" i="1"/>
  <c r="B70" i="1"/>
  <c r="P103" i="1" s="1"/>
  <c r="D69" i="1"/>
  <c r="B69" i="1"/>
  <c r="B68" i="1"/>
  <c r="P101" i="1" s="1"/>
  <c r="D67" i="1"/>
  <c r="B67" i="1"/>
  <c r="P100" i="1" s="1"/>
  <c r="E66" i="1"/>
  <c r="S126" i="1" s="1"/>
  <c r="D66" i="1"/>
  <c r="B66" i="1"/>
  <c r="P99" i="1" s="1"/>
  <c r="D65" i="1"/>
  <c r="E65" i="1" s="1"/>
  <c r="S125" i="1" s="1"/>
  <c r="B65" i="1"/>
  <c r="D64" i="1"/>
  <c r="B64" i="1"/>
  <c r="P97" i="1" s="1"/>
  <c r="B63" i="1"/>
  <c r="I62" i="1"/>
  <c r="T181" i="1" s="1"/>
  <c r="B62" i="1"/>
  <c r="O96" i="1" s="1"/>
  <c r="I61" i="1"/>
  <c r="T175" i="1" s="1"/>
  <c r="B61" i="1"/>
  <c r="O95" i="1" s="1"/>
  <c r="B60" i="1"/>
  <c r="I59" i="1"/>
  <c r="T174" i="1" s="1"/>
  <c r="B59" i="1"/>
  <c r="O93" i="1" s="1"/>
  <c r="D58" i="1"/>
  <c r="B58" i="1"/>
  <c r="E57" i="1"/>
  <c r="R118" i="1" s="1"/>
  <c r="D57" i="1"/>
  <c r="B57" i="1"/>
  <c r="N92" i="1" s="1"/>
  <c r="V56" i="1"/>
  <c r="U56" i="1"/>
  <c r="R56" i="1"/>
  <c r="O56" i="1"/>
  <c r="D56" i="1"/>
  <c r="B56" i="1"/>
  <c r="Q55" i="1"/>
  <c r="D55" i="1"/>
  <c r="E55" i="1" s="1"/>
  <c r="R117" i="1" s="1"/>
  <c r="B55" i="1"/>
  <c r="N91" i="1" s="1"/>
  <c r="Z54" i="1"/>
  <c r="D54" i="1"/>
  <c r="B54" i="1"/>
  <c r="V53" i="1"/>
  <c r="O53" i="1"/>
  <c r="D53" i="1"/>
  <c r="B53" i="1"/>
  <c r="O52" i="1"/>
  <c r="D52" i="1"/>
  <c r="B52" i="1"/>
  <c r="V51" i="1"/>
  <c r="U51" i="1"/>
  <c r="R51" i="1"/>
  <c r="Q51" i="1"/>
  <c r="O51" i="1"/>
  <c r="D51" i="1"/>
  <c r="B51" i="1"/>
  <c r="Q50" i="1"/>
  <c r="D50" i="1"/>
  <c r="B50" i="1"/>
  <c r="N89" i="1" s="1"/>
  <c r="Q49" i="1"/>
  <c r="I49" i="1"/>
  <c r="T168" i="1" s="1"/>
  <c r="D49" i="1"/>
  <c r="B49" i="1"/>
  <c r="N88" i="1" s="1"/>
  <c r="Q48" i="1"/>
  <c r="O48" i="1"/>
  <c r="I48" i="1"/>
  <c r="T167" i="1" s="1"/>
  <c r="E48" i="1"/>
  <c r="R115" i="1" s="1"/>
  <c r="D48" i="1"/>
  <c r="B48" i="1"/>
  <c r="E58" i="1" s="1"/>
  <c r="R119" i="1" s="1"/>
  <c r="V47" i="1"/>
  <c r="U47" i="1"/>
  <c r="R47" i="1"/>
  <c r="Q47" i="1"/>
  <c r="O47" i="1"/>
  <c r="I47" i="1"/>
  <c r="T166" i="1" s="1"/>
  <c r="E47" i="1"/>
  <c r="R114" i="1" s="1"/>
  <c r="D47" i="1"/>
  <c r="B47" i="1"/>
  <c r="S46" i="1"/>
  <c r="Q46" i="1"/>
  <c r="O46" i="1"/>
  <c r="I46" i="1"/>
  <c r="T165" i="1" s="1"/>
  <c r="D46" i="1"/>
  <c r="B46" i="1"/>
  <c r="N85" i="1" s="1"/>
  <c r="R45" i="1"/>
  <c r="Q45" i="1"/>
  <c r="O45" i="1"/>
  <c r="I45" i="1"/>
  <c r="T164" i="1" s="1"/>
  <c r="D45" i="1"/>
  <c r="E45" i="1" s="1"/>
  <c r="R112" i="1" s="1"/>
  <c r="B45" i="1"/>
  <c r="N129" i="1" s="1"/>
  <c r="R44" i="1"/>
  <c r="Q44" i="1"/>
  <c r="O44" i="1"/>
  <c r="I44" i="1"/>
  <c r="T163" i="1" s="1"/>
  <c r="D44" i="1"/>
  <c r="E44" i="1" s="1"/>
  <c r="R111" i="1" s="1"/>
  <c r="B44" i="1"/>
  <c r="N128" i="1" s="1"/>
  <c r="U43" i="1"/>
  <c r="R43" i="1"/>
  <c r="Q43" i="1"/>
  <c r="O43" i="1"/>
  <c r="I43" i="1"/>
  <c r="T162" i="1" s="1"/>
  <c r="D43" i="1"/>
  <c r="E43" i="1" s="1"/>
  <c r="R110" i="1" s="1"/>
  <c r="B43" i="1"/>
  <c r="E67" i="1" s="1"/>
  <c r="S127" i="1" s="1"/>
  <c r="U42" i="1"/>
  <c r="R42" i="1"/>
  <c r="Q42" i="1"/>
  <c r="O42" i="1"/>
  <c r="B42" i="1"/>
  <c r="E51" i="1" s="1"/>
  <c r="R116" i="1" s="1"/>
  <c r="V41" i="1"/>
  <c r="U41" i="1"/>
  <c r="R41" i="1"/>
  <c r="Q41" i="1"/>
  <c r="O41" i="1"/>
  <c r="B41" i="1"/>
  <c r="X40" i="1"/>
  <c r="W40" i="1"/>
  <c r="V40" i="1"/>
  <c r="U40" i="1"/>
  <c r="T40" i="1"/>
  <c r="S40" i="1"/>
  <c r="R40" i="1"/>
  <c r="Q40" i="1"/>
  <c r="P40" i="1"/>
  <c r="O40" i="1"/>
  <c r="B40" i="1"/>
  <c r="N81" i="1" s="1"/>
  <c r="E39" i="1"/>
  <c r="G38" i="1"/>
  <c r="R157" i="1" s="1"/>
  <c r="F38" i="1"/>
  <c r="Q156" i="1" s="1"/>
  <c r="E38" i="1"/>
  <c r="D38" i="1"/>
  <c r="K38" i="1" s="1"/>
  <c r="V37" i="1"/>
  <c r="U37" i="1"/>
  <c r="R37" i="1"/>
  <c r="O37" i="1"/>
  <c r="B35" i="1"/>
  <c r="I34" i="1"/>
  <c r="H34" i="1"/>
  <c r="S154" i="1" s="1"/>
  <c r="G34" i="1"/>
  <c r="R153" i="1" s="1"/>
  <c r="Z33" i="1"/>
  <c r="Y33" i="1"/>
  <c r="Y54" i="1" s="1"/>
  <c r="F33" i="1"/>
  <c r="Q152" i="1" s="1"/>
  <c r="E33" i="1"/>
  <c r="K33" i="1" s="1"/>
  <c r="S152" i="1" s="1"/>
  <c r="D33" i="1"/>
  <c r="V32" i="1"/>
  <c r="U32" i="1"/>
  <c r="R32" i="1"/>
  <c r="Q32" i="1"/>
  <c r="O32" i="1"/>
  <c r="Q29" i="1"/>
  <c r="O29" i="1"/>
  <c r="V28" i="1"/>
  <c r="U28" i="1"/>
  <c r="R28" i="1"/>
  <c r="Q28" i="1"/>
  <c r="O28" i="1"/>
  <c r="S27" i="1"/>
  <c r="Q27" i="1"/>
  <c r="O27" i="1"/>
  <c r="R26" i="1"/>
  <c r="Q26" i="1"/>
  <c r="O26" i="1"/>
  <c r="R25" i="1"/>
  <c r="Q25" i="1"/>
  <c r="O25" i="1"/>
  <c r="R24" i="1"/>
  <c r="Q24" i="1"/>
  <c r="O24" i="1"/>
  <c r="R23" i="1"/>
  <c r="Q23" i="1"/>
  <c r="O23" i="1"/>
  <c r="V22" i="1"/>
  <c r="U22" i="1"/>
  <c r="R22" i="1"/>
  <c r="Q22" i="1"/>
  <c r="O22" i="1"/>
  <c r="X21" i="1"/>
  <c r="W21" i="1"/>
  <c r="V21" i="1"/>
  <c r="U21" i="1"/>
  <c r="T21" i="1"/>
  <c r="S21" i="1"/>
  <c r="R21" i="1"/>
  <c r="Q21" i="1"/>
  <c r="P21" i="1"/>
  <c r="O21" i="1"/>
  <c r="L13" i="1"/>
  <c r="H12" i="1" s="1"/>
  <c r="B12" i="1"/>
  <c r="M11" i="1"/>
  <c r="N11" i="1" s="1"/>
  <c r="B26" i="1" s="1"/>
  <c r="B11" i="1"/>
  <c r="A35" i="1" s="1"/>
  <c r="M10" i="1"/>
  <c r="L9" i="1"/>
  <c r="H9" i="1"/>
  <c r="L7" i="1"/>
  <c r="D6" i="1"/>
  <c r="J6" i="1" s="1"/>
  <c r="R156" i="1" l="1"/>
  <c r="L38" i="1"/>
  <c r="D20" i="1"/>
  <c r="P138" i="1" s="1"/>
  <c r="S153" i="1"/>
  <c r="L33" i="1"/>
  <c r="N83" i="1"/>
  <c r="N87" i="1"/>
  <c r="T161" i="1"/>
  <c r="T173" i="1"/>
  <c r="E46" i="1"/>
  <c r="R113" i="1" s="1"/>
  <c r="E49" i="1"/>
  <c r="R130" i="1" s="1"/>
  <c r="E64" i="1"/>
  <c r="S124" i="1" s="1"/>
  <c r="S174" i="1" s="1"/>
  <c r="N84" i="1"/>
  <c r="Q153" i="1"/>
  <c r="R154" i="1"/>
  <c r="Q157" i="1"/>
  <c r="T176" i="1"/>
  <c r="L6" i="1"/>
  <c r="K34" i="1"/>
  <c r="L34" i="1" s="1"/>
  <c r="E50" i="1"/>
  <c r="R131" i="1" s="1"/>
  <c r="P139" i="1" l="1"/>
  <c r="D24" i="1"/>
  <c r="T152" i="1"/>
  <c r="T153" i="1"/>
  <c r="P144" i="1" l="1"/>
  <c r="P143" i="1"/>
  <c r="H20" i="1" s="1"/>
  <c r="D10" i="1" s="1"/>
</calcChain>
</file>

<file path=xl/sharedStrings.xml><?xml version="1.0" encoding="utf-8"?>
<sst xmlns="http://schemas.openxmlformats.org/spreadsheetml/2006/main" count="579" uniqueCount="234">
  <si>
    <t>Прайс на Z-фасдады (18.01.2022) - Офис</t>
  </si>
  <si>
    <t>Республика Беларусь, аг.Ждановичи, ул.Звёздная,15а
Тел.: +375(17)-549-03-31, факс: +375(17)-549-03-51, 
Моб. +375 (29) 633 78 10, +375 (29) 699 89 55, +375 (29) 344 99 17
e-mail: fasad@pan-invest.com
Цены указаны в ДОЛЛАРАХ, по курсу НБ РБ на день оплаты.</t>
  </si>
  <si>
    <t>ВНИМАНИЕ!!! В СТОИМОСТЬ ВКЛЮЧЕНА ШЛИФОВКА/ПОЛИРОВКА</t>
  </si>
  <si>
    <t>MZ_1</t>
  </si>
  <si>
    <t>MZ_3</t>
  </si>
  <si>
    <t>MZ_4</t>
  </si>
  <si>
    <t>MZ_12</t>
  </si>
  <si>
    <t>MZ_9</t>
  </si>
  <si>
    <t>Z_2018</t>
  </si>
  <si>
    <t>MZ_17</t>
  </si>
  <si>
    <t>MZ_13</t>
  </si>
  <si>
    <t>MZ_2</t>
  </si>
  <si>
    <t>MZ_7</t>
  </si>
  <si>
    <t>MF_30</t>
  </si>
  <si>
    <t>MF_20</t>
  </si>
  <si>
    <t>инструкция</t>
  </si>
  <si>
    <t xml:space="preserve">                   В стоимость включено: уголки (4шт); сборка; отверстия под петли (2шт); упаковка в стрейч пленку + картон; </t>
  </si>
  <si>
    <t xml:space="preserve">ВНИМАНИЕ!!!! Перед просчете нового и последующих фасадов - обязательно очистите все поля!!!! </t>
  </si>
  <si>
    <t>шлифовка/полировка</t>
  </si>
  <si>
    <t>серебро</t>
  </si>
  <si>
    <t>хром</t>
  </si>
  <si>
    <t>черный матовый</t>
  </si>
  <si>
    <t>ОСНОВНЫЕ ПОЛЯ</t>
  </si>
  <si>
    <t>инокс</t>
  </si>
  <si>
    <t>серебро браш</t>
  </si>
  <si>
    <t>черный браш</t>
  </si>
  <si>
    <t>1. Заполните высоту/ширину фасада</t>
  </si>
  <si>
    <t>высота фасада</t>
  </si>
  <si>
    <t>мм</t>
  </si>
  <si>
    <t>ВНИМАНИЕ!!! ЗАПОЛНИТЕ ГРАФУ "ГРАВИРОВКА МЕТРАЖ"</t>
  </si>
  <si>
    <t>шампань</t>
  </si>
  <si>
    <t>латунь</t>
  </si>
  <si>
    <t>2. Выберите вид профиля из выподающего меню</t>
  </si>
  <si>
    <t>ширина фасада</t>
  </si>
  <si>
    <t>стоимость ИТОГО</t>
  </si>
  <si>
    <t>коньяк</t>
  </si>
  <si>
    <t>белый матовый</t>
  </si>
  <si>
    <t>3. Выберете цвет профиля из выподающего меню</t>
  </si>
  <si>
    <t>количество перемычек (импост)</t>
  </si>
  <si>
    <t>шт</t>
  </si>
  <si>
    <t>белый глянец RAL 9016</t>
  </si>
  <si>
    <t>4. Выберете наполнение из выподающего меню</t>
  </si>
  <si>
    <t>площадь</t>
  </si>
  <si>
    <t>м2</t>
  </si>
  <si>
    <t>титан</t>
  </si>
  <si>
    <t>5. Выберете цвет наполнения из выподающего меню</t>
  </si>
  <si>
    <t>периметр</t>
  </si>
  <si>
    <t>м п</t>
  </si>
  <si>
    <t>ПРИМЧАНИЕ:</t>
  </si>
  <si>
    <t>вид профиля</t>
  </si>
  <si>
    <t xml:space="preserve"> </t>
  </si>
  <si>
    <t>шампань браш</t>
  </si>
  <si>
    <t>площадь и периметр считается автоматически</t>
  </si>
  <si>
    <t>цвет профиля</t>
  </si>
  <si>
    <t>рекомендуем использовать стяжку-выпрямитель</t>
  </si>
  <si>
    <t>при выборе профиля Z_12 и Z_2018 шлифовка/полировка считается автоматически</t>
  </si>
  <si>
    <t>материал наполнения</t>
  </si>
  <si>
    <t>фотопечать</t>
  </si>
  <si>
    <t>стоимость профиля</t>
  </si>
  <si>
    <t>стоимость заполнения</t>
  </si>
  <si>
    <t>в количестве 1 шт</t>
  </si>
  <si>
    <t>цвет</t>
  </si>
  <si>
    <t>стекло б/ц  4мм</t>
  </si>
  <si>
    <t>в количестве 2 шт</t>
  </si>
  <si>
    <t>$/м п</t>
  </si>
  <si>
    <t>Z_1</t>
  </si>
  <si>
    <t>Z_3</t>
  </si>
  <si>
    <t>Z_4</t>
  </si>
  <si>
    <t>Z_12</t>
  </si>
  <si>
    <t>Z_9</t>
  </si>
  <si>
    <t>Z_17</t>
  </si>
  <si>
    <t>Z_13</t>
  </si>
  <si>
    <t>ДОПОЛНИТЕЛЬНЫЕ УСЛУГИ</t>
  </si>
  <si>
    <t>1. отверстие под ручку - при необходимости вводим количество</t>
  </si>
  <si>
    <t>защитная пленка "люкс" бел/черн</t>
  </si>
  <si>
    <t>изделие не попадает в стандартную программу по логистике</t>
  </si>
  <si>
    <t>2. втулка - при необходимости вводим количество</t>
  </si>
  <si>
    <t>доп отверстие под ручку</t>
  </si>
  <si>
    <t>стоимость доп услуги</t>
  </si>
  <si>
    <t>3. доп отверстие под петли - при необходимости вводим количество</t>
  </si>
  <si>
    <t>втулка</t>
  </si>
  <si>
    <t>4. фацет - при необходимости выберете из выподающего меню ширину фацета</t>
  </si>
  <si>
    <t>доп отверстие под петли</t>
  </si>
  <si>
    <t>5. гравировка - при необходимости выберете из выподающего окна вид гравировки</t>
  </si>
  <si>
    <t>шлифовка/полировка  (MZ_12;Z_2018;MZ_17;)</t>
  </si>
  <si>
    <t>$</t>
  </si>
  <si>
    <t>6. пескоструй - при необходимости выберете из выпадающего окна</t>
  </si>
  <si>
    <t>фацет</t>
  </si>
  <si>
    <t>гравировка, м2</t>
  </si>
  <si>
    <t>фрезеровка под стяжку-выпрямитель</t>
  </si>
  <si>
    <t>ед</t>
  </si>
  <si>
    <t>графит браш</t>
  </si>
  <si>
    <t>пескоструй</t>
  </si>
  <si>
    <t>венге глянец</t>
  </si>
  <si>
    <t>оклейка пленкой</t>
  </si>
  <si>
    <t>5 мм</t>
  </si>
  <si>
    <t>6мм</t>
  </si>
  <si>
    <t>10 мм</t>
  </si>
  <si>
    <t>серебро глянец</t>
  </si>
  <si>
    <t>стяжка</t>
  </si>
  <si>
    <t>стекло б/ц  6мм</t>
  </si>
  <si>
    <t>да</t>
  </si>
  <si>
    <t>стекло осветленное  4мм</t>
  </si>
  <si>
    <t xml:space="preserve">+ стекло </t>
  </si>
  <si>
    <t>нет</t>
  </si>
  <si>
    <t>стекло осветленное  6мм</t>
  </si>
  <si>
    <t>окрашенное стекло  4мм</t>
  </si>
  <si>
    <t>отверстие под ручку</t>
  </si>
  <si>
    <t>Стекло Стопсол  ГРЕЙ Stopsol Phoenix 4 мм</t>
  </si>
  <si>
    <t>окрашенное стекло  6мм</t>
  </si>
  <si>
    <t>Стекло Стопсол  БРОНЗА Stopsol Phoenix 4 мм</t>
  </si>
  <si>
    <t>окрашенное стекло + перламутр серебро  4мм</t>
  </si>
  <si>
    <t>дополнительное отверстие под петли</t>
  </si>
  <si>
    <t>Стекло 4 мм (бронза/графит)(Planibel Bronze, Grey)</t>
  </si>
  <si>
    <t>окрашенное стекло + перламутр серебро 6мм</t>
  </si>
  <si>
    <t>шлифовка/полировка (Z12;Z2018;)</t>
  </si>
  <si>
    <t>Стекло 6 мм (бронза/графит)(Planibel Bronze, Grey)</t>
  </si>
  <si>
    <t>окрашенное стекло + перламутр золото  4мм</t>
  </si>
  <si>
    <t>фацет 5мм</t>
  </si>
  <si>
    <t xml:space="preserve">Стекло 4 мм (темный Графит) (Planibel Dark Grey) </t>
  </si>
  <si>
    <t>окрашенное стекло + перламутр золото  6мм</t>
  </si>
  <si>
    <t>фацет 10мм</t>
  </si>
  <si>
    <t>Стекло матовое тонированное САТИН 4 мм (Matelux)</t>
  </si>
  <si>
    <t>Стекло Стопсол  ГРЕЙ Stopsol Phoenix окрашенное по периметру для Z12 4 мм</t>
  </si>
  <si>
    <t>фацет 15мм</t>
  </si>
  <si>
    <t>Стекло матовое тонированное САТИН 6 мм (Matelux)</t>
  </si>
  <si>
    <t>Стекло Стопсол  БРОНЗА Stopsol Phoenix окрашенное по периметру для Z12 4 мм</t>
  </si>
  <si>
    <t>гравировка ромбы 6мм, м2</t>
  </si>
  <si>
    <t>Стекло матовое тонированное САТИН 4 мм (Matelux Bronze, Grey)</t>
  </si>
  <si>
    <t>стеклоосветленное окрашенное по периметру для Z12 белый глянец</t>
  </si>
  <si>
    <t>гравировка ромбы 10мм, м2</t>
  </si>
  <si>
    <t>Стекло матовое  тонированное САТИН 6 мм (Matelux Bronze, Grey)</t>
  </si>
  <si>
    <t>стекло б/ц окрашенное по периметру для Z12 белый глянец</t>
  </si>
  <si>
    <t xml:space="preserve">Узорчатое стекло </t>
  </si>
  <si>
    <t>стекло графит окрашенное по периметру для Z12 коньяк</t>
  </si>
  <si>
    <t>стекло темный Графит окрашенное по периметру для Z12 коньяк</t>
  </si>
  <si>
    <t>стекло</t>
  </si>
  <si>
    <t>зеркало</t>
  </si>
  <si>
    <t>лакобель</t>
  </si>
  <si>
    <t>лакомат</t>
  </si>
  <si>
    <t>окрашенное_стекло</t>
  </si>
  <si>
    <t>кожа</t>
  </si>
  <si>
    <t>камень</t>
  </si>
  <si>
    <t>Зеркало серебро (Mirox NGE M1)</t>
  </si>
  <si>
    <t>стоимость пленки для покраски стекла по периметру</t>
  </si>
  <si>
    <t>Лакобель категория 1</t>
  </si>
  <si>
    <t>Зеркало бронза, графит (Mirox NGE Bronze, Grey)</t>
  </si>
  <si>
    <t>Лакобель категория 2</t>
  </si>
  <si>
    <t>Зеркало серебро матовое (Matelac Silver)</t>
  </si>
  <si>
    <t>Лакобель категория 3</t>
  </si>
  <si>
    <t>Зеркало бронза, графит матовое (Matelac Bronze, Grey)</t>
  </si>
  <si>
    <t>фрезеровка под стяжку</t>
  </si>
  <si>
    <t>Лакобель категория 4</t>
  </si>
  <si>
    <t>Лакобель/мателак категория 5</t>
  </si>
  <si>
    <t>фотопечать стекло б/ц  4мм</t>
  </si>
  <si>
    <t>Лакобель/мателак категория 6</t>
  </si>
  <si>
    <t>фотопечать стекло б/ц  6мм</t>
  </si>
  <si>
    <t>Лакобель/мателак категория 7</t>
  </si>
  <si>
    <t>фотопечать стекло осветленное  4мм</t>
  </si>
  <si>
    <t>фотопечать стекло осветленное  6мм</t>
  </si>
  <si>
    <t>пескоструй сплошной</t>
  </si>
  <si>
    <t>пескостуй по лицу</t>
  </si>
  <si>
    <t>Лакобель/мателак категория 8</t>
  </si>
  <si>
    <t>пескоструй по амальгамме/краске</t>
  </si>
  <si>
    <t>пескоструй цветной</t>
  </si>
  <si>
    <t>Тип</t>
  </si>
  <si>
    <t>Цвет</t>
  </si>
  <si>
    <t>Цена/м п</t>
  </si>
  <si>
    <t>Материал заполнения</t>
  </si>
  <si>
    <t>Цена/м2</t>
  </si>
  <si>
    <t xml:space="preserve">           Дополнительные услуги (без учета материала)</t>
  </si>
  <si>
    <t>Z-1</t>
  </si>
  <si>
    <t>серебро, коньяк, шампань</t>
  </si>
  <si>
    <t>Стекло</t>
  </si>
  <si>
    <t>инокс, белый глянец, латунь</t>
  </si>
  <si>
    <t>титан, белый матовый</t>
  </si>
  <si>
    <t>серебро браш, шампань браш, черный браш</t>
  </si>
  <si>
    <t>Z-3</t>
  </si>
  <si>
    <t>Z-4</t>
  </si>
  <si>
    <t>белый глянец</t>
  </si>
  <si>
    <t>инокс, латунь</t>
  </si>
  <si>
    <t>стекло осветленное окрашенное по периметру для Z12 белый глянец</t>
  </si>
  <si>
    <t>серебро браш, черный браш</t>
  </si>
  <si>
    <t>Z-9</t>
  </si>
  <si>
    <t>Z-12</t>
  </si>
  <si>
    <t>серебро, коньяк, шампань, белый глянец</t>
  </si>
  <si>
    <t>белый глянец, черный браш, титан</t>
  </si>
  <si>
    <t>Зеркало</t>
  </si>
  <si>
    <t>Z-13</t>
  </si>
  <si>
    <t>серебро, инокс, латунь, черный браш, белый матовый</t>
  </si>
  <si>
    <t>Z-2, Z-7</t>
  </si>
  <si>
    <t>Z-17</t>
  </si>
  <si>
    <t>серебро, инокс, латунь, белый матовый</t>
  </si>
  <si>
    <t>Z-2018</t>
  </si>
  <si>
    <t>Лакобель/мателак</t>
  </si>
  <si>
    <t>MF-20</t>
  </si>
  <si>
    <t>MF-30</t>
  </si>
  <si>
    <t>Дополнительные услуги</t>
  </si>
  <si>
    <t>Цена</t>
  </si>
  <si>
    <t>Отверстия под ручку</t>
  </si>
  <si>
    <t>$0,7 / отверстие</t>
  </si>
  <si>
    <t>Втулка</t>
  </si>
  <si>
    <t>$0,6 / шт.</t>
  </si>
  <si>
    <t>Дополнительные отверстия под петли</t>
  </si>
  <si>
    <t>$1,4 / отверстие</t>
  </si>
  <si>
    <t>Сборка/разборка фасада в случае переделки фасада</t>
  </si>
  <si>
    <t>$5 / фасад</t>
  </si>
  <si>
    <t>Подгонка стекла под фасад  z12 (шлифовка/полировка)</t>
  </si>
  <si>
    <t>$2,25 / м.п.</t>
  </si>
  <si>
    <t>Лакомат</t>
  </si>
  <si>
    <t>Ручка для фасада Z_2018</t>
  </si>
  <si>
    <t>$11 / шт.</t>
  </si>
  <si>
    <t>фрезеровка под стяжку выпрямитель</t>
  </si>
  <si>
    <t>$9,8 ед</t>
  </si>
  <si>
    <t>Оклейка обратной стороны защитной пленкой "люкс" бел/черн</t>
  </si>
  <si>
    <t>$14 / м2</t>
  </si>
  <si>
    <t>9005 черный классический; 1015 бежевый светлый; 1236 коричневый светлый; 8815 красный терракотовый</t>
  </si>
  <si>
    <t>7013 коричневый; 1586 красный яркий; 9010 белый нежный</t>
  </si>
  <si>
    <t>1013 белый жемчужный; 9003 белый ультра</t>
  </si>
  <si>
    <t xml:space="preserve">7035 серый классический; </t>
  </si>
  <si>
    <t>7016 черно серый; 7000 серо голубой; 9006 серый металлик; 9007 алюминиевый металлик; 0337 черный сияющий; 8715 зеленый светлый</t>
  </si>
  <si>
    <t>МАТЕЛАК категория 5</t>
  </si>
  <si>
    <t xml:space="preserve">9010 белый нежный; 9005 черный классический; </t>
  </si>
  <si>
    <t>0627 серый темный металлик; 9115 медный металлик; 9015 коричневый сияющий</t>
  </si>
  <si>
    <t>МАТЕЛАК  категория 6</t>
  </si>
  <si>
    <t>9003 белый ультра; 1013 белый жемчужный; 1236 коричневый светлый;</t>
  </si>
  <si>
    <t>МАТЕЛАК  категория 7</t>
  </si>
  <si>
    <t>9006 серый металлик; 1015 бежевый светлый; 8715 зеленый светлый; 8815 красный терракотовый; 7013 коричневый; 7000 серо-голубой; 0627 серый темный металлик; 7016 черно-серый</t>
  </si>
  <si>
    <t>УЗОРЧАТОЕ СТЕКЛО</t>
  </si>
  <si>
    <t xml:space="preserve">http://pan-invest.com/decorative_glass/steklo-zerkalo-uzorchatoe/ </t>
  </si>
  <si>
    <t>алладин бронза; алладин серебро; алладин черн 9005; атора; барокко бел 9003; барокко бронз; барокко сезаль; барокко черн 9005; барьер 1902;</t>
  </si>
  <si>
    <t>бриз 1914; весна белая 1846; весна черн 1844; винтаж бронза 1882; вьюн 9005; вьюн бронза 1748; вьюн серебро; коко 1885; колотый лед 1874;</t>
  </si>
  <si>
    <t>колотый лед бронза; лабиринт бронза; лабиринт сезаль; лабиринт сталь; магнолия бронза; магнолия серебро; омт сезаль; парус серебро; плющ бронза;</t>
  </si>
  <si>
    <t>роуз 1877; спектр бел; фантом золото 5000; феникс золото; фибоначчи бронза; фибоначчи серебро; фуджи бел 1778; фуджи черн 1776; цветы бронз/серебро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</si>
</sst>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[$$-409]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44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0" fillId="0" borderId="0" xfId="0" applyFont="1" applyAlignment="1"/>
    <xf numFmtId="0" fontId="4" fillId="0" borderId="6" xfId="0" applyFont="1" applyBorder="1" applyAlignment="1" applyProtection="1">
      <alignment vertical="center" wrapText="1"/>
      <protection hidden="1"/>
    </xf>
    <xf numFmtId="0" fontId="5" fillId="2" borderId="7" xfId="0" applyFont="1" applyFill="1" applyBorder="1" applyAlignment="1"/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/>
    <xf numFmtId="0" fontId="6" fillId="2" borderId="9" xfId="0" applyFont="1" applyFill="1" applyBorder="1" applyAlignment="1"/>
    <xf numFmtId="0" fontId="0" fillId="3" borderId="9" xfId="0" applyFont="1" applyFill="1" applyBorder="1" applyAlignment="1"/>
    <xf numFmtId="0" fontId="0" fillId="3" borderId="0" xfId="0" applyFont="1" applyFill="1" applyAlignment="1"/>
    <xf numFmtId="0" fontId="0" fillId="4" borderId="10" xfId="0" applyFont="1" applyFill="1" applyBorder="1" applyAlignment="1"/>
    <xf numFmtId="0" fontId="0" fillId="4" borderId="11" xfId="0" applyFont="1" applyFill="1" applyBorder="1" applyAlignment="1"/>
    <xf numFmtId="0" fontId="0" fillId="0" borderId="11" xfId="0" applyFont="1" applyBorder="1" applyAlignment="1"/>
    <xf numFmtId="0" fontId="0" fillId="4" borderId="11" xfId="0" applyFill="1" applyBorder="1"/>
    <xf numFmtId="0" fontId="0" fillId="0" borderId="11" xfId="0" applyFill="1" applyBorder="1"/>
    <xf numFmtId="0" fontId="0" fillId="0" borderId="3" xfId="0" applyFill="1" applyBorder="1"/>
    <xf numFmtId="0" fontId="8" fillId="2" borderId="15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protection hidden="1"/>
    </xf>
    <xf numFmtId="0" fontId="9" fillId="2" borderId="16" xfId="0" applyFont="1" applyFill="1" applyBorder="1" applyAlignment="1" applyProtection="1">
      <protection hidden="1"/>
    </xf>
    <xf numFmtId="0" fontId="10" fillId="2" borderId="16" xfId="0" applyFont="1" applyFill="1" applyBorder="1" applyAlignment="1" applyProtection="1">
      <protection hidden="1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8" xfId="0" applyBorder="1"/>
    <xf numFmtId="0" fontId="0" fillId="0" borderId="18" xfId="0" applyFill="1" applyBorder="1"/>
    <xf numFmtId="0" fontId="0" fillId="0" borderId="19" xfId="0" applyBorder="1"/>
    <xf numFmtId="0" fontId="5" fillId="2" borderId="15" xfId="0" applyFont="1" applyFill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6" fillId="2" borderId="16" xfId="0" applyFont="1" applyFill="1" applyBorder="1" applyAlignment="1"/>
    <xf numFmtId="0" fontId="0" fillId="3" borderId="16" xfId="0" applyFont="1" applyFill="1" applyBorder="1" applyAlignment="1"/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Fill="1" applyBorder="1"/>
    <xf numFmtId="0" fontId="12" fillId="0" borderId="3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31" xfId="0" applyBorder="1" applyProtection="1">
      <protection hidden="1"/>
    </xf>
    <xf numFmtId="0" fontId="13" fillId="2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4" fillId="3" borderId="16" xfId="0" applyFont="1" applyFill="1" applyBorder="1" applyAlignment="1"/>
    <xf numFmtId="0" fontId="0" fillId="0" borderId="16" xfId="0" applyFont="1" applyBorder="1" applyAlignment="1"/>
    <xf numFmtId="0" fontId="5" fillId="0" borderId="35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left" wrapText="1"/>
    </xf>
    <xf numFmtId="0" fontId="14" fillId="4" borderId="17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1" fillId="0" borderId="30" xfId="0" applyFont="1" applyBorder="1" applyProtection="1">
      <protection hidden="1"/>
    </xf>
    <xf numFmtId="0" fontId="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1" fillId="0" borderId="23" xfId="0" applyFont="1" applyBorder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164" fontId="5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17" xfId="0" applyFont="1" applyFill="1" applyBorder="1" applyAlignment="1"/>
    <xf numFmtId="0" fontId="6" fillId="2" borderId="16" xfId="0" applyFont="1" applyFill="1" applyBorder="1"/>
    <xf numFmtId="0" fontId="3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/>
    <xf numFmtId="0" fontId="0" fillId="0" borderId="38" xfId="0" applyBorder="1"/>
    <xf numFmtId="0" fontId="0" fillId="0" borderId="38" xfId="0" applyFill="1" applyBorder="1"/>
    <xf numFmtId="0" fontId="0" fillId="0" borderId="6" xfId="0" applyBorder="1"/>
    <xf numFmtId="0" fontId="0" fillId="0" borderId="16" xfId="0" applyBorder="1"/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4" borderId="39" xfId="0" applyFill="1" applyBorder="1"/>
    <xf numFmtId="0" fontId="3" fillId="2" borderId="15" xfId="0" applyFont="1" applyFill="1" applyBorder="1" applyAlignment="1"/>
    <xf numFmtId="43" fontId="0" fillId="3" borderId="18" xfId="0" applyNumberFormat="1" applyFont="1" applyFill="1" applyBorder="1" applyAlignment="1">
      <alignment horizontal="center" vertical="center"/>
    </xf>
    <xf numFmtId="43" fontId="0" fillId="3" borderId="12" xfId="0" applyNumberFormat="1" applyFill="1" applyBorder="1" applyAlignment="1">
      <alignment horizontal="center" vertical="center"/>
    </xf>
    <xf numFmtId="43" fontId="0" fillId="3" borderId="18" xfId="0" applyNumberFormat="1" applyFill="1" applyBorder="1" applyAlignment="1">
      <alignment horizontal="center" vertical="center"/>
    </xf>
    <xf numFmtId="2" fontId="0" fillId="3" borderId="18" xfId="0" applyNumberFormat="1" applyFill="1" applyBorder="1"/>
    <xf numFmtId="0" fontId="12" fillId="0" borderId="20" xfId="0" applyFont="1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3" fillId="2" borderId="18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horizontal="left" vertical="center"/>
    </xf>
    <xf numFmtId="0" fontId="0" fillId="0" borderId="12" xfId="0" applyFont="1" applyBorder="1" applyAlignment="1"/>
    <xf numFmtId="0" fontId="0" fillId="0" borderId="12" xfId="0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/>
    </xf>
    <xf numFmtId="164" fontId="5" fillId="2" borderId="18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12" fillId="0" borderId="23" xfId="0" applyFon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0" xfId="0" applyBorder="1"/>
    <xf numFmtId="0" fontId="16" fillId="2" borderId="0" xfId="0" applyFont="1" applyFill="1" applyBorder="1" applyAlignment="1">
      <alignment vertical="top"/>
    </xf>
    <xf numFmtId="0" fontId="3" fillId="2" borderId="18" xfId="0" applyFont="1" applyFill="1" applyBorder="1" applyAlignment="1" applyProtection="1">
      <protection hidden="1"/>
    </xf>
    <xf numFmtId="0" fontId="3" fillId="6" borderId="18" xfId="0" applyFont="1" applyFill="1" applyBorder="1" applyAlignment="1" applyProtection="1">
      <alignment horizontal="left" vertical="top"/>
      <protection locked="0"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5" fillId="2" borderId="27" xfId="0" applyFont="1" applyFill="1" applyBorder="1" applyAlignment="1"/>
    <xf numFmtId="0" fontId="5" fillId="2" borderId="28" xfId="0" applyFont="1" applyFill="1" applyBorder="1" applyAlignment="1">
      <alignment horizontal="left" vertical="center"/>
    </xf>
    <xf numFmtId="0" fontId="5" fillId="2" borderId="28" xfId="0" applyFont="1" applyFill="1" applyBorder="1" applyAlignment="1"/>
    <xf numFmtId="0" fontId="5" fillId="2" borderId="28" xfId="0" applyFont="1" applyFill="1" applyBorder="1" applyAlignment="1">
      <alignment horizontal="center"/>
    </xf>
    <xf numFmtId="0" fontId="6" fillId="2" borderId="36" xfId="0" applyFont="1" applyFill="1" applyBorder="1" applyAlignment="1"/>
    <xf numFmtId="0" fontId="0" fillId="0" borderId="36" xfId="0" applyFont="1" applyBorder="1" applyAlignment="1"/>
    <xf numFmtId="2" fontId="0" fillId="3" borderId="18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40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43" fontId="0" fillId="0" borderId="18" xfId="0" applyNumberFormat="1" applyFont="1" applyBorder="1" applyAlignment="1">
      <alignment horizontal="center" vertical="center"/>
    </xf>
    <xf numFmtId="43" fontId="0" fillId="0" borderId="18" xfId="0" applyNumberFormat="1" applyBorder="1" applyAlignment="1">
      <alignment horizontal="center" vertical="center"/>
    </xf>
    <xf numFmtId="2" fontId="0" fillId="0" borderId="18" xfId="0" applyNumberFormat="1" applyBorder="1"/>
    <xf numFmtId="2" fontId="0" fillId="0" borderId="19" xfId="0" applyNumberFormat="1" applyBorder="1"/>
    <xf numFmtId="0" fontId="0" fillId="3" borderId="0" xfId="0" applyFont="1" applyFill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3" fontId="0" fillId="3" borderId="38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3" fontId="0" fillId="3" borderId="38" xfId="0" applyNumberFormat="1" applyFill="1" applyBorder="1" applyAlignment="1">
      <alignment horizontal="center" vertical="center"/>
    </xf>
    <xf numFmtId="0" fontId="0" fillId="0" borderId="0" xfId="0" applyFont="1" applyAlignment="1" applyProtection="1">
      <protection hidden="1"/>
    </xf>
    <xf numFmtId="0" fontId="0" fillId="0" borderId="18" xfId="0" applyFont="1" applyBorder="1" applyAlignment="1" applyProtection="1">
      <protection hidden="1"/>
    </xf>
    <xf numFmtId="0" fontId="0" fillId="0" borderId="11" xfId="0" applyBorder="1"/>
    <xf numFmtId="0" fontId="0" fillId="0" borderId="18" xfId="0" applyFont="1" applyFill="1" applyBorder="1" applyAlignment="1"/>
    <xf numFmtId="0" fontId="0" fillId="4" borderId="18" xfId="0" applyFont="1" applyFill="1" applyBorder="1" applyAlignment="1">
      <alignment horizontal="left" vertical="center"/>
    </xf>
    <xf numFmtId="1" fontId="0" fillId="0" borderId="18" xfId="0" applyNumberFormat="1" applyBorder="1"/>
    <xf numFmtId="0" fontId="5" fillId="3" borderId="0" xfId="0" applyFont="1" applyFill="1" applyAlignment="1"/>
    <xf numFmtId="49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0" fillId="0" borderId="40" xfId="0" applyFont="1" applyFill="1" applyBorder="1" applyAlignment="1"/>
    <xf numFmtId="0" fontId="0" fillId="4" borderId="0" xfId="0" applyFont="1" applyFill="1" applyAlignment="1"/>
    <xf numFmtId="0" fontId="0" fillId="0" borderId="14" xfId="0" applyFont="1" applyBorder="1" applyAlignment="1"/>
    <xf numFmtId="0" fontId="0" fillId="4" borderId="18" xfId="0" applyFill="1" applyBorder="1"/>
    <xf numFmtId="0" fontId="0" fillId="0" borderId="14" xfId="0" applyFont="1" applyFill="1" applyBorder="1" applyAlignment="1"/>
    <xf numFmtId="0" fontId="14" fillId="0" borderId="18" xfId="0" applyFont="1" applyFill="1" applyBorder="1" applyAlignment="1"/>
    <xf numFmtId="0" fontId="1" fillId="4" borderId="18" xfId="0" applyFont="1" applyFill="1" applyBorder="1"/>
    <xf numFmtId="0" fontId="0" fillId="0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41" xfId="0" applyFont="1" applyFill="1" applyBorder="1" applyAlignment="1"/>
    <xf numFmtId="0" fontId="0" fillId="0" borderId="42" xfId="0" applyFont="1" applyBorder="1" applyAlignment="1"/>
    <xf numFmtId="0" fontId="0" fillId="0" borderId="43" xfId="0" applyFont="1" applyBorder="1" applyAlignment="1"/>
    <xf numFmtId="0" fontId="0" fillId="0" borderId="44" xfId="0" applyFont="1" applyBorder="1" applyAlignment="1"/>
    <xf numFmtId="0" fontId="0" fillId="0" borderId="45" xfId="0" applyFont="1" applyBorder="1" applyAlignment="1"/>
    <xf numFmtId="0" fontId="0" fillId="0" borderId="46" xfId="0" applyFont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18" xfId="0" applyFont="1" applyFill="1" applyBorder="1" applyAlignment="1">
      <alignment vertical="center" wrapText="1"/>
    </xf>
    <xf numFmtId="0" fontId="0" fillId="0" borderId="40" xfId="0" applyFont="1" applyBorder="1" applyAlignment="1"/>
    <xf numFmtId="0" fontId="0" fillId="0" borderId="47" xfId="0" applyFont="1" applyFill="1" applyBorder="1" applyAlignment="1"/>
    <xf numFmtId="0" fontId="0" fillId="0" borderId="48" xfId="0" applyBorder="1"/>
    <xf numFmtId="0" fontId="0" fillId="4" borderId="18" xfId="0" applyFont="1" applyFill="1" applyBorder="1" applyAlignment="1"/>
    <xf numFmtId="0" fontId="1" fillId="0" borderId="18" xfId="0" applyFont="1" applyFill="1" applyBorder="1" applyAlignment="1">
      <alignment vertical="center" wrapText="1"/>
    </xf>
    <xf numFmtId="0" fontId="0" fillId="0" borderId="10" xfId="0" applyFont="1" applyFill="1" applyBorder="1" applyAlignment="1"/>
    <xf numFmtId="0" fontId="0" fillId="0" borderId="49" xfId="0" applyFont="1" applyBorder="1" applyAlignment="1"/>
    <xf numFmtId="0" fontId="12" fillId="0" borderId="0" xfId="0" applyFont="1" applyFill="1" applyBorder="1" applyAlignment="1"/>
    <xf numFmtId="0" fontId="12" fillId="0" borderId="0" xfId="0" applyFont="1" applyAlignment="1">
      <alignment horizontal="left" vertical="center"/>
    </xf>
    <xf numFmtId="0" fontId="12" fillId="0" borderId="0" xfId="0" applyFont="1" applyAlignment="1"/>
    <xf numFmtId="0" fontId="17" fillId="5" borderId="12" xfId="0" applyFont="1" applyFill="1" applyBorder="1" applyAlignment="1" applyProtection="1">
      <alignment horizontal="center" vertical="center"/>
      <protection hidden="1"/>
    </xf>
    <xf numFmtId="0" fontId="17" fillId="5" borderId="35" xfId="0" applyFont="1" applyFill="1" applyBorder="1" applyAlignment="1" applyProtection="1">
      <alignment horizontal="center" vertical="center"/>
      <protection hidden="1"/>
    </xf>
    <xf numFmtId="0" fontId="18" fillId="5" borderId="18" xfId="0" applyFont="1" applyFill="1" applyBorder="1" applyAlignment="1" applyProtection="1">
      <alignment horizontal="center" vertical="center"/>
      <protection hidden="1"/>
    </xf>
    <xf numFmtId="0" fontId="18" fillId="5" borderId="18" xfId="0" applyFont="1" applyFill="1" applyBorder="1" applyAlignment="1" applyProtection="1"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165" fontId="12" fillId="0" borderId="35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protection hidden="1"/>
    </xf>
    <xf numFmtId="0" fontId="12" fillId="0" borderId="18" xfId="0" applyFont="1" applyFill="1" applyBorder="1" applyAlignment="1"/>
    <xf numFmtId="165" fontId="12" fillId="0" borderId="18" xfId="0" applyNumberFormat="1" applyFont="1" applyFill="1" applyBorder="1" applyAlignment="1" applyProtection="1">
      <alignment horizontal="center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165" fontId="12" fillId="0" borderId="50" xfId="0" applyNumberFormat="1" applyFont="1" applyFill="1" applyBorder="1" applyAlignment="1" applyProtection="1">
      <alignment horizontal="center" vertical="center"/>
      <protection hidden="1"/>
    </xf>
    <xf numFmtId="0" fontId="12" fillId="0" borderId="50" xfId="0" applyFont="1" applyFill="1" applyBorder="1" applyAlignment="1" applyProtection="1">
      <alignment vertical="center" wrapText="1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left" vertical="center"/>
      <protection hidden="1"/>
    </xf>
    <xf numFmtId="165" fontId="12" fillId="5" borderId="18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50" xfId="0" applyFont="1" applyBorder="1" applyAlignment="1">
      <alignment horizontal="left" vertical="center"/>
    </xf>
    <xf numFmtId="0" fontId="0" fillId="0" borderId="35" xfId="0" applyFont="1" applyBorder="1" applyAlignment="1"/>
    <xf numFmtId="0" fontId="12" fillId="0" borderId="40" xfId="0" applyFont="1" applyBorder="1" applyAlignment="1">
      <alignment horizontal="left" vertical="center"/>
    </xf>
    <xf numFmtId="165" fontId="12" fillId="0" borderId="40" xfId="0" applyNumberFormat="1" applyFont="1" applyFill="1" applyBorder="1" applyAlignment="1" applyProtection="1">
      <alignment horizontal="center" vertical="center"/>
      <protection hidden="1"/>
    </xf>
    <xf numFmtId="0" fontId="12" fillId="5" borderId="35" xfId="0" applyFont="1" applyFill="1" applyBorder="1" applyAlignment="1" applyProtection="1">
      <alignment horizontal="left" vertical="center"/>
      <protection hidden="1"/>
    </xf>
    <xf numFmtId="165" fontId="12" fillId="5" borderId="35" xfId="0" applyNumberFormat="1" applyFont="1" applyFill="1" applyBorder="1" applyAlignment="1" applyProtection="1">
      <alignment horizontal="center" vertical="center"/>
      <protection hidden="1"/>
    </xf>
    <xf numFmtId="0" fontId="12" fillId="5" borderId="40" xfId="0" applyFont="1" applyFill="1" applyBorder="1" applyAlignment="1" applyProtection="1">
      <alignment horizontal="left" vertical="center"/>
      <protection hidden="1"/>
    </xf>
    <xf numFmtId="165" fontId="12" fillId="5" borderId="40" xfId="0" applyNumberFormat="1" applyFont="1" applyFill="1" applyBorder="1" applyAlignment="1" applyProtection="1">
      <alignment horizontal="center"/>
      <protection hidden="1"/>
    </xf>
    <xf numFmtId="165" fontId="12" fillId="0" borderId="35" xfId="0" applyNumberFormat="1" applyFont="1" applyFill="1" applyBorder="1" applyAlignment="1" applyProtection="1">
      <alignment horizontal="center"/>
      <protection hidden="1"/>
    </xf>
    <xf numFmtId="165" fontId="12" fillId="0" borderId="50" xfId="0" applyNumberFormat="1" applyFont="1" applyFill="1" applyBorder="1" applyAlignment="1" applyProtection="1">
      <alignment horizontal="center"/>
      <protection hidden="1"/>
    </xf>
    <xf numFmtId="165" fontId="12" fillId="0" borderId="18" xfId="0" applyNumberFormat="1" applyFont="1" applyFill="1" applyBorder="1" applyAlignment="1" applyProtection="1">
      <alignment vertical="center"/>
      <protection hidden="1"/>
    </xf>
    <xf numFmtId="165" fontId="12" fillId="0" borderId="40" xfId="0" applyNumberFormat="1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 vertical="center"/>
      <protection hidden="1"/>
    </xf>
    <xf numFmtId="0" fontId="12" fillId="5" borderId="12" xfId="0" applyFont="1" applyFill="1" applyBorder="1" applyAlignment="1" applyProtection="1">
      <alignment horizontal="left" vertical="center"/>
      <protection hidden="1"/>
    </xf>
    <xf numFmtId="0" fontId="12" fillId="0" borderId="3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2" fillId="0" borderId="40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left" vertical="center"/>
      <protection hidden="1"/>
    </xf>
    <xf numFmtId="0" fontId="12" fillId="0" borderId="12" xfId="0" applyFont="1" applyFill="1" applyBorder="1" applyAlignment="1" applyProtection="1">
      <protection hidden="1"/>
    </xf>
    <xf numFmtId="0" fontId="12" fillId="0" borderId="13" xfId="0" applyFont="1" applyFill="1" applyBorder="1" applyAlignment="1" applyProtection="1">
      <protection hidden="1"/>
    </xf>
    <xf numFmtId="0" fontId="12" fillId="0" borderId="18" xfId="0" applyFont="1" applyBorder="1" applyAlignment="1"/>
    <xf numFmtId="0" fontId="12" fillId="5" borderId="20" xfId="0" applyFont="1" applyFill="1" applyBorder="1" applyAlignment="1" applyProtection="1">
      <alignment horizontal="left" vertical="center"/>
      <protection hidden="1"/>
    </xf>
    <xf numFmtId="165" fontId="12" fillId="5" borderId="35" xfId="0" applyNumberFormat="1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/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left" vertical="center"/>
      <protection hidden="1"/>
    </xf>
    <xf numFmtId="165" fontId="12" fillId="0" borderId="18" xfId="0" applyNumberFormat="1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left" vertical="center"/>
    </xf>
    <xf numFmtId="0" fontId="2" fillId="0" borderId="18" xfId="0" applyFont="1" applyBorder="1" applyAlignment="1"/>
    <xf numFmtId="0" fontId="12" fillId="0" borderId="0" xfId="0" applyFont="1"/>
    <xf numFmtId="0" fontId="12" fillId="0" borderId="18" xfId="0" applyFont="1" applyBorder="1" applyAlignment="1" applyProtection="1">
      <alignment horizontal="left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8" xfId="0" applyFont="1" applyBorder="1" applyAlignment="1" applyProtection="1">
      <protection hidden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 wrapText="1"/>
    </xf>
    <xf numFmtId="0" fontId="12" fillId="5" borderId="18" xfId="0" applyFont="1" applyFill="1" applyBorder="1" applyAlignment="1"/>
    <xf numFmtId="0" fontId="18" fillId="5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/>
    <xf numFmtId="0" fontId="0" fillId="0" borderId="23" xfId="0" applyFont="1" applyBorder="1" applyAlignment="1"/>
    <xf numFmtId="0" fontId="0" fillId="7" borderId="18" xfId="0" applyFont="1" applyFill="1" applyBorder="1" applyAlignment="1"/>
    <xf numFmtId="0" fontId="12" fillId="0" borderId="0" xfId="0" applyFont="1" applyProtection="1">
      <protection hidden="1"/>
    </xf>
    <xf numFmtId="0" fontId="12" fillId="0" borderId="0" xfId="0" applyFont="1" applyAlignment="1" applyProtection="1"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0" fillId="8" borderId="18" xfId="0" applyFont="1" applyFill="1" applyBorder="1" applyAlignment="1"/>
    <xf numFmtId="0" fontId="0" fillId="9" borderId="18" xfId="0" applyFont="1" applyFill="1" applyBorder="1" applyAlignment="1"/>
    <xf numFmtId="0" fontId="0" fillId="10" borderId="18" xfId="0" applyFont="1" applyFill="1" applyBorder="1" applyAlignment="1"/>
    <xf numFmtId="0" fontId="0" fillId="11" borderId="18" xfId="0" applyFont="1" applyFill="1" applyBorder="1" applyAlignment="1"/>
    <xf numFmtId="0" fontId="12" fillId="0" borderId="18" xfId="0" applyFont="1" applyBorder="1" applyAlignment="1">
      <alignment horizontal="left"/>
    </xf>
    <xf numFmtId="0" fontId="12" fillId="0" borderId="35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8" fillId="5" borderId="18" xfId="0" applyFont="1" applyFill="1" applyBorder="1" applyAlignment="1">
      <alignment horizontal="center" vertical="center"/>
    </xf>
    <xf numFmtId="0" fontId="20" fillId="5" borderId="12" xfId="1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8" fillId="5" borderId="18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left"/>
      <protection hidden="1"/>
    </xf>
    <xf numFmtId="0" fontId="12" fillId="0" borderId="13" xfId="0" applyFont="1" applyFill="1" applyBorder="1" applyAlignment="1" applyProtection="1">
      <alignment horizontal="left"/>
      <protection hidden="1"/>
    </xf>
    <xf numFmtId="0" fontId="12" fillId="0" borderId="14" xfId="0" applyFont="1" applyFill="1" applyBorder="1" applyAlignment="1" applyProtection="1">
      <alignment horizontal="left"/>
      <protection hidden="1"/>
    </xf>
    <xf numFmtId="0" fontId="18" fillId="5" borderId="12" xfId="0" applyFont="1" applyFill="1" applyBorder="1" applyAlignment="1" applyProtection="1">
      <alignment horizontal="center" vertical="center"/>
      <protection hidden="1"/>
    </xf>
    <xf numFmtId="0" fontId="18" fillId="5" borderId="13" xfId="0" applyFont="1" applyFill="1" applyBorder="1" applyAlignment="1" applyProtection="1">
      <alignment horizontal="center" vertical="center"/>
      <protection hidden="1"/>
    </xf>
    <xf numFmtId="0" fontId="18" fillId="5" borderId="14" xfId="0" applyFont="1" applyFill="1" applyBorder="1" applyAlignment="1" applyProtection="1">
      <alignment horizontal="center" vertical="center"/>
      <protection hidden="1"/>
    </xf>
    <xf numFmtId="0" fontId="12" fillId="5" borderId="35" xfId="0" applyFont="1" applyFill="1" applyBorder="1" applyAlignment="1" applyProtection="1">
      <alignment horizontal="center" vertical="center"/>
      <protection hidden="1"/>
    </xf>
    <xf numFmtId="0" fontId="12" fillId="5" borderId="40" xfId="0" applyFont="1" applyFill="1" applyBorder="1" applyAlignment="1" applyProtection="1">
      <alignment horizontal="center" vertical="center"/>
      <protection hidden="1"/>
    </xf>
    <xf numFmtId="0" fontId="18" fillId="5" borderId="18" xfId="0" applyFont="1" applyFill="1" applyBorder="1" applyAlignment="1" applyProtection="1">
      <alignment horizontal="center"/>
      <protection hidden="1"/>
    </xf>
    <xf numFmtId="0" fontId="12" fillId="5" borderId="20" xfId="0" applyFont="1" applyFill="1" applyBorder="1" applyAlignment="1" applyProtection="1">
      <alignment horizontal="center" vertical="center"/>
      <protection hidden="1"/>
    </xf>
    <xf numFmtId="0" fontId="12" fillId="5" borderId="23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7" fillId="5" borderId="12" xfId="0" applyFont="1" applyFill="1" applyBorder="1" applyAlignment="1" applyProtection="1">
      <alignment horizontal="center" vertical="center"/>
      <protection hidden="1"/>
    </xf>
    <xf numFmtId="0" fontId="7" fillId="5" borderId="13" xfId="0" applyFont="1" applyFill="1" applyBorder="1" applyAlignment="1" applyProtection="1">
      <alignment horizontal="center" vertical="center"/>
      <protection hidden="1"/>
    </xf>
    <xf numFmtId="0" fontId="7" fillId="5" borderId="14" xfId="0" applyFont="1" applyFill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2182091</xdr:colOff>
      <xdr:row>1</xdr:row>
      <xdr:rowOff>126873</xdr:rowOff>
    </xdr:from>
    <xdr:to>
      <xdr:col>10</xdr:col>
      <xdr:colOff>100942</xdr:colOff>
      <xdr:row>1</xdr:row>
      <xdr:rowOff>813954</xdr:rowOff>
    </xdr:to>
    <xdr:pic>
      <xdr:nvPicPr>
        <xdr:cNvPr id="2" name="Рисунок 1" descr="Logo_Пан_Инвест_2014_ru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08991" y="460248"/>
          <a:ext cx="2347976" cy="6870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_Z%2017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фасады_ПК (2)"/>
      <sheetName val="Z_фасады_ПК"/>
      <sheetName val="Z_фасады_Партнер"/>
      <sheetName val="Z_фасады_Дилер"/>
      <sheetName val="Z_фасады_Опт"/>
      <sheetName val="Z_фасады_Офис"/>
      <sheetName val="Z_фасады_СС"/>
      <sheetName val="СС_стекло АВА NEW"/>
      <sheetName val="СС_стекло"/>
      <sheetName val="CC_железо_NEW"/>
      <sheetName val="СС_железо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B40">
            <v>8.9</v>
          </cell>
        </row>
        <row r="41">
          <cell r="B41">
            <v>13.6</v>
          </cell>
        </row>
        <row r="42">
          <cell r="B42">
            <v>19</v>
          </cell>
        </row>
        <row r="43">
          <cell r="B43">
            <v>27.2</v>
          </cell>
          <cell r="D43">
            <v>18</v>
          </cell>
          <cell r="I43">
            <v>0.5</v>
          </cell>
        </row>
        <row r="44">
          <cell r="B44">
            <v>24.4</v>
          </cell>
          <cell r="D44">
            <v>18</v>
          </cell>
          <cell r="I44">
            <v>0.4</v>
          </cell>
        </row>
        <row r="45">
          <cell r="B45">
            <v>24.4</v>
          </cell>
          <cell r="D45">
            <v>30</v>
          </cell>
          <cell r="I45">
            <v>1</v>
          </cell>
        </row>
        <row r="46">
          <cell r="B46">
            <v>14.6</v>
          </cell>
          <cell r="D46">
            <v>30</v>
          </cell>
          <cell r="I46">
            <v>1.6</v>
          </cell>
        </row>
        <row r="47">
          <cell r="B47">
            <v>20.100000000000001</v>
          </cell>
          <cell r="D47">
            <v>35</v>
          </cell>
          <cell r="I47">
            <v>2.2999999999999998</v>
          </cell>
        </row>
        <row r="48">
          <cell r="B48">
            <v>19.600000000000001</v>
          </cell>
          <cell r="D48">
            <v>35</v>
          </cell>
          <cell r="I48">
            <v>3</v>
          </cell>
        </row>
        <row r="49">
          <cell r="B49">
            <v>13.1</v>
          </cell>
          <cell r="D49">
            <v>25</v>
          </cell>
          <cell r="I49">
            <v>3.5</v>
          </cell>
        </row>
        <row r="50">
          <cell r="B50">
            <v>20.8</v>
          </cell>
          <cell r="D50">
            <v>25</v>
          </cell>
        </row>
        <row r="51">
          <cell r="B51">
            <v>24.4</v>
          </cell>
          <cell r="D51">
            <v>25</v>
          </cell>
        </row>
        <row r="55">
          <cell r="B55">
            <v>33.4</v>
          </cell>
          <cell r="D55">
            <v>25</v>
          </cell>
        </row>
        <row r="57">
          <cell r="B57">
            <v>45</v>
          </cell>
          <cell r="D57">
            <v>25</v>
          </cell>
        </row>
        <row r="58">
          <cell r="D58">
            <v>25</v>
          </cell>
        </row>
        <row r="59">
          <cell r="B59">
            <v>11.5</v>
          </cell>
          <cell r="I59">
            <v>13</v>
          </cell>
        </row>
        <row r="60">
          <cell r="B60">
            <v>18.600000000000001</v>
          </cell>
        </row>
        <row r="61">
          <cell r="B61">
            <v>19.8</v>
          </cell>
          <cell r="I61">
            <v>10</v>
          </cell>
        </row>
        <row r="62">
          <cell r="B62">
            <v>28.3</v>
          </cell>
          <cell r="I62">
            <v>7</v>
          </cell>
        </row>
        <row r="64">
          <cell r="B64">
            <v>19.399999999999999</v>
          </cell>
          <cell r="D64">
            <v>22.1</v>
          </cell>
        </row>
        <row r="65">
          <cell r="B65">
            <v>22.3</v>
          </cell>
          <cell r="D65">
            <v>26.4</v>
          </cell>
        </row>
        <row r="66">
          <cell r="B66">
            <v>23.3</v>
          </cell>
          <cell r="D66">
            <v>28</v>
          </cell>
        </row>
        <row r="67">
          <cell r="B67">
            <v>27.1</v>
          </cell>
          <cell r="D67">
            <v>25.8</v>
          </cell>
        </row>
        <row r="68">
          <cell r="B68">
            <v>31.2</v>
          </cell>
        </row>
        <row r="69">
          <cell r="B69">
            <v>34.700000000000003</v>
          </cell>
          <cell r="D69">
            <v>8</v>
          </cell>
        </row>
        <row r="70">
          <cell r="B70">
            <v>43.8</v>
          </cell>
          <cell r="D70">
            <v>14</v>
          </cell>
        </row>
        <row r="71">
          <cell r="D71">
            <v>14</v>
          </cell>
        </row>
        <row r="72">
          <cell r="D72">
            <v>32</v>
          </cell>
        </row>
        <row r="74">
          <cell r="D74">
            <v>17.899999999999999</v>
          </cell>
        </row>
        <row r="76">
          <cell r="D76">
            <v>50</v>
          </cell>
        </row>
        <row r="78">
          <cell r="D78">
            <v>55</v>
          </cell>
        </row>
      </sheetData>
      <sheetData sheetId="7"/>
      <sheetData sheetId="8"/>
      <sheetData sheetId="9">
        <row r="3">
          <cell r="M3">
            <v>8</v>
          </cell>
        </row>
        <row r="4">
          <cell r="M4">
            <v>8.5</v>
          </cell>
        </row>
        <row r="5">
          <cell r="M5">
            <v>9</v>
          </cell>
        </row>
        <row r="6">
          <cell r="M6">
            <v>8</v>
          </cell>
        </row>
        <row r="7">
          <cell r="M7">
            <v>8</v>
          </cell>
        </row>
        <row r="8">
          <cell r="M8">
            <v>8.5</v>
          </cell>
        </row>
        <row r="9">
          <cell r="M9">
            <v>9.5</v>
          </cell>
        </row>
        <row r="10">
          <cell r="M10">
            <v>9.5</v>
          </cell>
        </row>
        <row r="11">
          <cell r="M11">
            <v>9.5</v>
          </cell>
        </row>
        <row r="12">
          <cell r="M12">
            <v>8.5</v>
          </cell>
        </row>
        <row r="15">
          <cell r="M15">
            <v>9</v>
          </cell>
        </row>
        <row r="17">
          <cell r="M17">
            <v>10.5</v>
          </cell>
        </row>
        <row r="18">
          <cell r="M18">
            <v>11</v>
          </cell>
        </row>
        <row r="19">
          <cell r="M19">
            <v>12.5</v>
          </cell>
        </row>
        <row r="20">
          <cell r="M20">
            <v>10.5</v>
          </cell>
        </row>
        <row r="21">
          <cell r="M21">
            <v>10.5</v>
          </cell>
        </row>
        <row r="22">
          <cell r="M22">
            <v>12</v>
          </cell>
        </row>
        <row r="23">
          <cell r="M23">
            <v>13.5</v>
          </cell>
        </row>
        <row r="24">
          <cell r="M24">
            <v>13.5</v>
          </cell>
        </row>
        <row r="25">
          <cell r="M25">
            <v>9.5</v>
          </cell>
        </row>
        <row r="26">
          <cell r="M26">
            <v>12</v>
          </cell>
        </row>
        <row r="29">
          <cell r="M29">
            <v>11</v>
          </cell>
        </row>
        <row r="41">
          <cell r="M41">
            <v>10</v>
          </cell>
        </row>
        <row r="42">
          <cell r="M42">
            <v>12</v>
          </cell>
        </row>
        <row r="53">
          <cell r="M53">
            <v>10</v>
          </cell>
        </row>
        <row r="54">
          <cell r="M54">
            <v>10</v>
          </cell>
        </row>
        <row r="55">
          <cell r="M55">
            <v>11.5</v>
          </cell>
        </row>
        <row r="56">
          <cell r="M56">
            <v>10</v>
          </cell>
        </row>
        <row r="57">
          <cell r="M57">
            <v>10</v>
          </cell>
        </row>
        <row r="58">
          <cell r="M58">
            <v>11</v>
          </cell>
        </row>
        <row r="59">
          <cell r="M59">
            <v>12</v>
          </cell>
        </row>
        <row r="60">
          <cell r="M60">
            <v>11.5</v>
          </cell>
        </row>
        <row r="61">
          <cell r="M61">
            <v>11</v>
          </cell>
        </row>
        <row r="65">
          <cell r="M65">
            <v>12</v>
          </cell>
        </row>
        <row r="66">
          <cell r="M66">
            <v>12</v>
          </cell>
        </row>
        <row r="67">
          <cell r="M67">
            <v>12</v>
          </cell>
        </row>
        <row r="68">
          <cell r="M68">
            <v>12</v>
          </cell>
        </row>
        <row r="69">
          <cell r="M69">
            <v>12</v>
          </cell>
        </row>
        <row r="76">
          <cell r="M76">
            <v>12</v>
          </cell>
        </row>
        <row r="77">
          <cell r="M77">
            <v>13</v>
          </cell>
        </row>
        <row r="78">
          <cell r="M78">
            <v>12</v>
          </cell>
        </row>
        <row r="79">
          <cell r="M79">
            <v>12</v>
          </cell>
        </row>
        <row r="80">
          <cell r="M80">
            <v>12</v>
          </cell>
        </row>
        <row r="88">
          <cell r="M88">
            <v>20</v>
          </cell>
        </row>
        <row r="100">
          <cell r="M100">
            <v>8</v>
          </cell>
        </row>
        <row r="108">
          <cell r="M108">
            <v>8</v>
          </cell>
        </row>
        <row r="117">
          <cell r="M117">
            <v>18</v>
          </cell>
        </row>
        <row r="126">
          <cell r="M126">
            <v>22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an-invest.com/decorative_glass/steklo-zerkalo-uzorchato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3"/>
  <sheetViews>
    <sheetView tabSelected="1" zoomScale="70" zoomScaleNormal="70" workbookViewId="0">
      <selection activeCell="H20" sqref="H20:I21 D20:F21 D24:F25 L13"/>
    </sheetView>
  </sheetViews>
  <sheetFormatPr defaultRowHeight="15" x14ac:dyDescent="0.25"/>
  <cols>
    <col min="1" max="1" width="83.28515625" style="2" customWidth="1"/>
    <col min="2" max="2" width="136" style="110" customWidth="1"/>
    <col min="3" max="3" width="47.85546875" style="2" customWidth="1"/>
    <col min="4" max="4" width="10.7109375" style="2" customWidth="1"/>
    <col min="5" max="5" width="17" style="2" customWidth="1"/>
    <col min="6" max="6" width="13" style="2" customWidth="1"/>
    <col min="7" max="7" width="7.28515625" style="2" customWidth="1"/>
    <col min="8" max="8" width="26.7109375" style="2" customWidth="1"/>
    <col min="9" max="9" width="29" style="2" customWidth="1"/>
    <col min="10" max="10" width="66.42578125" style="2" bestFit="1" customWidth="1"/>
    <col min="11" max="11" width="11.85546875" style="2" customWidth="1"/>
    <col min="12" max="12" width="63.42578125" style="2" hidden="1" customWidth="1"/>
    <col min="13" max="13" width="66.42578125" style="2" hidden="1" customWidth="1"/>
    <col min="14" max="14" width="63.5703125" style="2" hidden="1" customWidth="1"/>
    <col min="15" max="15" width="52.7109375" style="2" hidden="1" customWidth="1"/>
    <col min="16" max="16" width="30" style="2" hidden="1" customWidth="1"/>
    <col min="17" max="17" width="14.85546875" style="2" hidden="1" customWidth="1"/>
    <col min="18" max="18" width="66.42578125" style="2" hidden="1" customWidth="1"/>
    <col min="19" max="19" width="24.5703125" style="2" hidden="1" customWidth="1"/>
    <col min="20" max="20" width="13.7109375" hidden="1" customWidth="1"/>
    <col min="21" max="21" width="12.85546875" hidden="1" customWidth="1"/>
    <col min="22" max="22" width="16.7109375" hidden="1" customWidth="1"/>
    <col min="23" max="24" width="0" hidden="1" customWidth="1"/>
    <col min="25" max="25" width="18" hidden="1" customWidth="1"/>
    <col min="26" max="26" width="20.85546875" hidden="1" customWidth="1"/>
    <col min="27" max="27" width="65" hidden="1" customWidth="1"/>
    <col min="28" max="28" width="124.7109375" customWidth="1"/>
    <col min="29" max="32" width="9.140625" hidden="1" customWidth="1"/>
  </cols>
  <sheetData>
    <row r="1" spans="1:32" ht="26.25" x14ac:dyDescent="0.25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5"/>
      <c r="L1" s="1"/>
    </row>
    <row r="2" spans="1:32" ht="90.75" customHeight="1" thickBot="1" x14ac:dyDescent="0.3">
      <c r="A2" s="326" t="s">
        <v>1</v>
      </c>
      <c r="B2" s="327"/>
      <c r="C2" s="327"/>
      <c r="D2" s="327"/>
      <c r="E2" s="327"/>
      <c r="F2" s="327"/>
      <c r="G2" s="327"/>
      <c r="H2" s="327"/>
      <c r="I2" s="327"/>
      <c r="J2" s="327"/>
      <c r="K2" s="328"/>
      <c r="L2" s="3"/>
    </row>
    <row r="3" spans="1:32" ht="28.5" x14ac:dyDescent="0.4">
      <c r="A3" s="4"/>
      <c r="B3" s="5"/>
      <c r="C3" s="6"/>
      <c r="D3" s="6"/>
      <c r="E3" s="6"/>
      <c r="F3" s="6"/>
      <c r="G3" s="6"/>
      <c r="H3" s="6"/>
      <c r="I3" s="6"/>
      <c r="J3" s="6"/>
      <c r="K3" s="7"/>
      <c r="L3" s="8" t="s">
        <v>2</v>
      </c>
      <c r="M3" s="9"/>
      <c r="N3" s="9"/>
      <c r="O3" s="10" t="s">
        <v>3</v>
      </c>
      <c r="P3" s="11" t="s">
        <v>4</v>
      </c>
      <c r="Q3" s="11" t="s">
        <v>5</v>
      </c>
      <c r="R3" s="11" t="s">
        <v>6</v>
      </c>
      <c r="S3" s="12" t="s">
        <v>7</v>
      </c>
      <c r="T3" s="13" t="s">
        <v>8</v>
      </c>
      <c r="U3" s="14" t="s">
        <v>9</v>
      </c>
      <c r="V3" s="14" t="s">
        <v>10</v>
      </c>
      <c r="W3" s="14" t="s">
        <v>11</v>
      </c>
      <c r="X3" s="14" t="s">
        <v>12</v>
      </c>
      <c r="Y3" s="14" t="s">
        <v>13</v>
      </c>
      <c r="Z3" s="15" t="s">
        <v>14</v>
      </c>
      <c r="AB3" s="329" t="s">
        <v>15</v>
      </c>
      <c r="AC3" s="330"/>
      <c r="AD3" s="330"/>
      <c r="AE3" s="330"/>
      <c r="AF3" s="331"/>
    </row>
    <row r="4" spans="1:32" ht="18.75" customHeight="1" x14ac:dyDescent="0.4">
      <c r="A4" s="16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8"/>
      <c r="L4" s="19"/>
      <c r="M4" s="9"/>
      <c r="N4" s="9"/>
      <c r="O4" s="20"/>
      <c r="P4" s="21"/>
      <c r="Q4" s="21"/>
      <c r="R4" s="21"/>
      <c r="S4" s="21"/>
      <c r="T4" s="22"/>
      <c r="U4" s="23"/>
      <c r="V4" s="23"/>
      <c r="W4" s="22"/>
      <c r="X4" s="22"/>
      <c r="Y4" s="22"/>
      <c r="Z4" s="24"/>
      <c r="AB4" s="332" t="s">
        <v>17</v>
      </c>
      <c r="AC4" s="333"/>
      <c r="AD4" s="333"/>
      <c r="AE4" s="333"/>
      <c r="AF4" s="334"/>
    </row>
    <row r="5" spans="1:32" ht="15.75" customHeight="1" thickBot="1" x14ac:dyDescent="0.45">
      <c r="A5" s="25"/>
      <c r="B5" s="26"/>
      <c r="C5" s="27"/>
      <c r="D5" s="27"/>
      <c r="E5" s="27"/>
      <c r="F5" s="27"/>
      <c r="G5" s="27"/>
      <c r="H5" s="27"/>
      <c r="I5" s="27"/>
      <c r="J5" s="27"/>
      <c r="K5" s="28"/>
      <c r="L5" s="29"/>
      <c r="M5" s="9"/>
      <c r="N5" s="9"/>
      <c r="O5" s="20"/>
      <c r="P5" s="21"/>
      <c r="Q5" s="21"/>
      <c r="R5" s="21"/>
      <c r="S5" s="21"/>
      <c r="T5" s="22"/>
      <c r="U5" s="23"/>
      <c r="V5" s="23"/>
      <c r="W5" s="22"/>
      <c r="X5" s="22"/>
      <c r="Y5" s="22"/>
      <c r="Z5" s="24"/>
      <c r="AB5" s="335"/>
      <c r="AC5" s="336"/>
      <c r="AD5" s="336"/>
      <c r="AE5" s="336"/>
      <c r="AF5" s="337"/>
    </row>
    <row r="6" spans="1:32" ht="26.25" x14ac:dyDescent="0.4">
      <c r="A6" s="25"/>
      <c r="B6" s="26"/>
      <c r="C6" s="27"/>
      <c r="D6" s="338" t="str">
        <f>IF(AND(B8&gt;1999,B9&gt;379),M15,M14)</f>
        <v xml:space="preserve"> </v>
      </c>
      <c r="E6" s="339"/>
      <c r="F6" s="339"/>
      <c r="G6" s="339"/>
      <c r="H6" s="339"/>
      <c r="I6" s="339"/>
      <c r="J6" s="342" t="str">
        <f>IF(AND(D6=M15,B9&gt;379,B9&lt;600),M19,IF(AND(D6=M15,B9&gt;599,B9&lt;1199),M20,M21))</f>
        <v xml:space="preserve"> </v>
      </c>
      <c r="K6" s="28"/>
      <c r="L6" s="29">
        <f>I46*B12</f>
        <v>8.9599999999999991</v>
      </c>
      <c r="M6" s="9" t="s">
        <v>18</v>
      </c>
      <c r="N6" s="9"/>
      <c r="O6" s="30" t="s">
        <v>19</v>
      </c>
      <c r="P6" s="31" t="s">
        <v>19</v>
      </c>
      <c r="Q6" s="23" t="s">
        <v>19</v>
      </c>
      <c r="R6" s="31" t="s">
        <v>19</v>
      </c>
      <c r="S6" s="32" t="s">
        <v>19</v>
      </c>
      <c r="T6" s="22" t="s">
        <v>20</v>
      </c>
      <c r="U6" s="23" t="s">
        <v>19</v>
      </c>
      <c r="V6" s="23" t="s">
        <v>19</v>
      </c>
      <c r="W6" s="22" t="s">
        <v>19</v>
      </c>
      <c r="X6" s="23" t="s">
        <v>19</v>
      </c>
      <c r="Y6" s="23" t="s">
        <v>21</v>
      </c>
      <c r="Z6" s="33" t="s">
        <v>21</v>
      </c>
      <c r="AB6" s="298" t="s">
        <v>22</v>
      </c>
      <c r="AC6" s="299"/>
      <c r="AD6" s="299"/>
      <c r="AE6" s="299"/>
      <c r="AF6" s="300"/>
    </row>
    <row r="7" spans="1:32" ht="27" thickBot="1" x14ac:dyDescent="0.45">
      <c r="A7" s="25"/>
      <c r="B7" s="26"/>
      <c r="C7" s="27"/>
      <c r="D7" s="340"/>
      <c r="E7" s="341"/>
      <c r="F7" s="341"/>
      <c r="G7" s="341"/>
      <c r="H7" s="341"/>
      <c r="I7" s="341"/>
      <c r="J7" s="343"/>
      <c r="K7" s="28"/>
      <c r="L7" s="29" t="str">
        <f>IF(ISNUMBER(SEARCH("грав",B28)),"ОК","Не ОК")</f>
        <v>Не ОК</v>
      </c>
      <c r="M7" s="9"/>
      <c r="N7" s="9"/>
      <c r="O7" s="30" t="s">
        <v>23</v>
      </c>
      <c r="P7" s="31"/>
      <c r="Q7" s="23" t="s">
        <v>23</v>
      </c>
      <c r="R7" s="31" t="s">
        <v>23</v>
      </c>
      <c r="S7" s="32" t="s">
        <v>24</v>
      </c>
      <c r="T7" s="22"/>
      <c r="U7" s="23" t="s">
        <v>25</v>
      </c>
      <c r="V7" s="31" t="s">
        <v>23</v>
      </c>
      <c r="W7" s="22"/>
      <c r="X7" s="22"/>
      <c r="Y7" s="22"/>
      <c r="Z7" s="24"/>
      <c r="AB7" s="34" t="s">
        <v>26</v>
      </c>
      <c r="AC7" s="35"/>
      <c r="AD7" s="35"/>
      <c r="AE7" s="35"/>
      <c r="AF7" s="36"/>
    </row>
    <row r="8" spans="1:32" ht="27" thickBot="1" x14ac:dyDescent="0.45">
      <c r="A8" s="37" t="s">
        <v>27</v>
      </c>
      <c r="B8" s="38">
        <v>1000</v>
      </c>
      <c r="C8" s="39" t="s">
        <v>28</v>
      </c>
      <c r="D8" s="27"/>
      <c r="E8" s="27"/>
      <c r="F8" s="27"/>
      <c r="G8" s="27"/>
      <c r="H8" s="27"/>
      <c r="I8" s="27"/>
      <c r="J8" s="27"/>
      <c r="K8" s="28"/>
      <c r="L8" s="40" t="s">
        <v>29</v>
      </c>
      <c r="M8" s="9"/>
      <c r="N8" s="9"/>
      <c r="O8" s="30" t="s">
        <v>30</v>
      </c>
      <c r="P8" s="31"/>
      <c r="Q8" s="23" t="s">
        <v>30</v>
      </c>
      <c r="R8" s="31" t="s">
        <v>30</v>
      </c>
      <c r="S8" s="32"/>
      <c r="T8" s="22"/>
      <c r="U8" s="31" t="s">
        <v>23</v>
      </c>
      <c r="V8" s="23" t="s">
        <v>31</v>
      </c>
      <c r="W8" s="22"/>
      <c r="X8" s="22"/>
      <c r="Y8" s="22"/>
      <c r="Z8" s="24"/>
      <c r="AB8" s="34" t="s">
        <v>32</v>
      </c>
      <c r="AC8" s="35"/>
      <c r="AD8" s="35"/>
      <c r="AE8" s="35"/>
      <c r="AF8" s="36"/>
    </row>
    <row r="9" spans="1:32" ht="27" thickBot="1" x14ac:dyDescent="0.45">
      <c r="A9" s="37" t="s">
        <v>33</v>
      </c>
      <c r="B9" s="38">
        <v>1000</v>
      </c>
      <c r="C9" s="39" t="s">
        <v>28</v>
      </c>
      <c r="D9" s="305" t="s">
        <v>34</v>
      </c>
      <c r="E9" s="306"/>
      <c r="F9" s="307"/>
      <c r="G9" s="27"/>
      <c r="H9" s="308" t="str">
        <f>IF(OR(B8&gt;1700,B9&gt;1700,),M22,M23)</f>
        <v xml:space="preserve"> </v>
      </c>
      <c r="I9" s="309"/>
      <c r="J9" s="310"/>
      <c r="K9" s="28"/>
      <c r="L9" s="41" t="str">
        <f>IF(B28="","","")</f>
        <v/>
      </c>
      <c r="O9" s="30" t="s">
        <v>35</v>
      </c>
      <c r="P9" s="31"/>
      <c r="Q9" s="23" t="s">
        <v>35</v>
      </c>
      <c r="R9" s="31" t="s">
        <v>35</v>
      </c>
      <c r="S9" s="32"/>
      <c r="T9" s="22"/>
      <c r="U9" s="31" t="s">
        <v>31</v>
      </c>
      <c r="V9" s="23" t="s">
        <v>36</v>
      </c>
      <c r="W9" s="22"/>
      <c r="X9" s="22"/>
      <c r="Y9" s="22"/>
      <c r="Z9" s="24"/>
      <c r="AB9" s="34" t="s">
        <v>37</v>
      </c>
      <c r="AC9" s="35"/>
      <c r="AD9" s="35"/>
      <c r="AE9" s="35"/>
      <c r="AF9" s="36"/>
    </row>
    <row r="10" spans="1:32" ht="27" thickBot="1" x14ac:dyDescent="0.45">
      <c r="A10" s="37" t="s">
        <v>38</v>
      </c>
      <c r="B10" s="42"/>
      <c r="C10" s="39" t="s">
        <v>39</v>
      </c>
      <c r="D10" s="292">
        <f>H20+D20+D24+L13</f>
        <v>67.06</v>
      </c>
      <c r="E10" s="293"/>
      <c r="F10" s="294"/>
      <c r="G10" s="27"/>
      <c r="H10" s="311"/>
      <c r="I10" s="312"/>
      <c r="J10" s="313"/>
      <c r="K10" s="43"/>
      <c r="L10" s="44"/>
      <c r="M10" s="45" t="b">
        <f>Z_фасады_Офис!M2=IF(B10="Z_12",IF(B13="стекло","Х",0))</f>
        <v>1</v>
      </c>
      <c r="O10" s="30" t="s">
        <v>40</v>
      </c>
      <c r="P10" s="31"/>
      <c r="Q10" s="31" t="s">
        <v>40</v>
      </c>
      <c r="R10" s="31" t="s">
        <v>40</v>
      </c>
      <c r="S10" s="31"/>
      <c r="T10" s="22"/>
      <c r="U10" s="23" t="s">
        <v>36</v>
      </c>
      <c r="V10" s="23" t="s">
        <v>25</v>
      </c>
      <c r="W10" s="22"/>
      <c r="X10" s="22"/>
      <c r="Y10" s="22"/>
      <c r="Z10" s="24"/>
      <c r="AB10" s="34" t="s">
        <v>41</v>
      </c>
      <c r="AC10" s="35"/>
      <c r="AD10" s="35"/>
      <c r="AE10" s="35"/>
      <c r="AF10" s="36"/>
    </row>
    <row r="11" spans="1:32" ht="27" thickBot="1" x14ac:dyDescent="0.45">
      <c r="A11" s="46" t="s">
        <v>42</v>
      </c>
      <c r="B11" s="47">
        <f>B8*B9/1000000</f>
        <v>1</v>
      </c>
      <c r="C11" s="39" t="s">
        <v>43</v>
      </c>
      <c r="D11" s="314"/>
      <c r="E11" s="315"/>
      <c r="F11" s="316"/>
      <c r="G11" s="27"/>
      <c r="H11" s="48"/>
      <c r="I11" s="48"/>
      <c r="J11" s="48"/>
      <c r="K11" s="43"/>
      <c r="L11" s="44"/>
      <c r="M11" s="49" t="str">
        <f>IF(OR(B14="Z_2018",B14="MZ_12",B14="MZ_17"),L6,"0")</f>
        <v>0</v>
      </c>
      <c r="N11" s="9" t="str">
        <f>IF(ISNUMBER(SEARCH("фац",B27)),"0",M11)</f>
        <v>0</v>
      </c>
      <c r="O11" s="50" t="s">
        <v>44</v>
      </c>
      <c r="P11" s="31"/>
      <c r="Q11" s="31" t="s">
        <v>44</v>
      </c>
      <c r="R11" s="31" t="s">
        <v>44</v>
      </c>
      <c r="S11" s="31"/>
      <c r="T11" s="22"/>
      <c r="U11" s="23"/>
      <c r="V11" s="23"/>
      <c r="W11" s="22"/>
      <c r="X11" s="22"/>
      <c r="Y11" s="22"/>
      <c r="Z11" s="24"/>
      <c r="AB11" s="34" t="s">
        <v>45</v>
      </c>
      <c r="AC11" s="35"/>
      <c r="AD11" s="35"/>
      <c r="AE11" s="35"/>
      <c r="AF11" s="36"/>
    </row>
    <row r="12" spans="1:32" ht="26.25" x14ac:dyDescent="0.4">
      <c r="A12" s="46" t="s">
        <v>46</v>
      </c>
      <c r="B12" s="47">
        <f>(((B9+B8)*2)+(B10*B9))/1000</f>
        <v>4</v>
      </c>
      <c r="C12" s="39" t="s">
        <v>47</v>
      </c>
      <c r="D12" s="314"/>
      <c r="E12" s="315"/>
      <c r="F12" s="316"/>
      <c r="G12" s="27"/>
      <c r="H12" s="317" t="str">
        <f>IF(L13="Х","ВЫБЕРИТЕ МАТЕРИАЛ НАПОЛНЕНИЯ - ОКРАШЕНОЕ СТЕКЛО"," ")</f>
        <v xml:space="preserve"> </v>
      </c>
      <c r="I12" s="318"/>
      <c r="J12" s="319"/>
      <c r="K12" s="43"/>
      <c r="L12" s="44"/>
      <c r="M12" s="45"/>
      <c r="O12" s="30" t="s">
        <v>24</v>
      </c>
      <c r="P12" s="31"/>
      <c r="Q12" s="23" t="s">
        <v>31</v>
      </c>
      <c r="R12" s="31" t="s">
        <v>25</v>
      </c>
      <c r="S12" s="31"/>
      <c r="T12" s="22"/>
      <c r="U12" s="23"/>
      <c r="V12" s="23"/>
      <c r="W12" s="22"/>
      <c r="X12" s="22"/>
      <c r="Y12" s="22"/>
      <c r="Z12" s="24"/>
      <c r="AB12" s="34"/>
      <c r="AC12" s="35"/>
      <c r="AD12" s="35"/>
      <c r="AE12" s="35"/>
      <c r="AF12" s="36"/>
    </row>
    <row r="13" spans="1:32" ht="27" thickBot="1" x14ac:dyDescent="0.45">
      <c r="A13" s="51"/>
      <c r="B13" s="26"/>
      <c r="C13" s="27"/>
      <c r="D13" s="314"/>
      <c r="E13" s="315"/>
      <c r="F13" s="316"/>
      <c r="G13" s="27"/>
      <c r="H13" s="320"/>
      <c r="I13" s="321"/>
      <c r="J13" s="322"/>
      <c r="K13" s="43"/>
      <c r="L13" s="44" t="b">
        <f>IF(B14="MZ_12",IF(B19="стекло","Х",0))</f>
        <v>0</v>
      </c>
      <c r="M13" s="45"/>
      <c r="O13" s="30" t="s">
        <v>31</v>
      </c>
      <c r="P13" s="31"/>
      <c r="Q13" s="23" t="s">
        <v>25</v>
      </c>
      <c r="R13" s="31" t="s">
        <v>36</v>
      </c>
      <c r="S13" s="31"/>
      <c r="T13" s="22"/>
      <c r="U13" s="23"/>
      <c r="V13" s="23"/>
      <c r="W13" s="22"/>
      <c r="X13" s="22"/>
      <c r="Y13" s="22"/>
      <c r="Z13" s="24"/>
      <c r="AB13" s="52" t="s">
        <v>48</v>
      </c>
      <c r="AC13" s="35"/>
      <c r="AD13" s="35"/>
      <c r="AE13" s="35"/>
      <c r="AF13" s="36"/>
    </row>
    <row r="14" spans="1:32" ht="26.25" x14ac:dyDescent="0.4">
      <c r="A14" s="37" t="s">
        <v>49</v>
      </c>
      <c r="B14" s="38" t="s">
        <v>5</v>
      </c>
      <c r="C14" s="27"/>
      <c r="D14" s="314"/>
      <c r="E14" s="315"/>
      <c r="F14" s="316"/>
      <c r="G14" s="27"/>
      <c r="H14" s="53"/>
      <c r="I14" s="53"/>
      <c r="J14" s="53"/>
      <c r="K14" s="43"/>
      <c r="L14" s="41"/>
      <c r="M14" s="21" t="s">
        <v>50</v>
      </c>
      <c r="O14" s="30" t="s">
        <v>51</v>
      </c>
      <c r="P14" s="31"/>
      <c r="Q14" s="23" t="s">
        <v>24</v>
      </c>
      <c r="R14" s="31" t="s">
        <v>31</v>
      </c>
      <c r="S14" s="31"/>
      <c r="T14" s="22"/>
      <c r="U14" s="23"/>
      <c r="V14" s="23"/>
      <c r="W14" s="22"/>
      <c r="X14" s="22"/>
      <c r="Y14" s="22"/>
      <c r="Z14" s="24"/>
      <c r="AB14" s="52" t="s">
        <v>52</v>
      </c>
      <c r="AC14" s="35"/>
      <c r="AD14" s="35"/>
      <c r="AE14" s="35"/>
      <c r="AF14" s="36"/>
    </row>
    <row r="15" spans="1:32" ht="27" thickBot="1" x14ac:dyDescent="0.45">
      <c r="A15" s="37" t="s">
        <v>53</v>
      </c>
      <c r="B15" s="38" t="s">
        <v>30</v>
      </c>
      <c r="C15" s="54"/>
      <c r="D15" s="295"/>
      <c r="E15" s="296"/>
      <c r="F15" s="297"/>
      <c r="G15" s="27"/>
      <c r="H15" s="27"/>
      <c r="I15" s="27"/>
      <c r="J15" s="48"/>
      <c r="K15" s="43"/>
      <c r="L15" s="44"/>
      <c r="M15" s="55" t="s">
        <v>54</v>
      </c>
      <c r="O15" s="30" t="s">
        <v>25</v>
      </c>
      <c r="P15" s="31"/>
      <c r="Q15" s="23" t="s">
        <v>51</v>
      </c>
      <c r="R15" s="31"/>
      <c r="S15" s="31"/>
      <c r="T15" s="22"/>
      <c r="U15" s="23"/>
      <c r="V15" s="23"/>
      <c r="W15" s="22"/>
      <c r="X15" s="22"/>
      <c r="Y15" s="22"/>
      <c r="Z15" s="24"/>
      <c r="AB15" s="56" t="s">
        <v>55</v>
      </c>
      <c r="AC15" s="57"/>
      <c r="AD15" s="57"/>
      <c r="AE15" s="57"/>
      <c r="AF15" s="58"/>
    </row>
    <row r="16" spans="1:32" ht="26.25" x14ac:dyDescent="0.4">
      <c r="A16" s="46"/>
      <c r="B16" s="26"/>
      <c r="C16" s="54"/>
      <c r="D16" s="59"/>
      <c r="E16" s="59"/>
      <c r="F16" s="59"/>
      <c r="G16" s="27"/>
      <c r="H16" s="27"/>
      <c r="I16" s="27"/>
      <c r="J16" s="48"/>
      <c r="K16" s="43"/>
      <c r="L16" s="44"/>
      <c r="M16" s="45"/>
      <c r="O16" s="30" t="s">
        <v>36</v>
      </c>
      <c r="P16" s="31"/>
      <c r="Q16" s="23"/>
      <c r="R16" s="31"/>
      <c r="S16" s="31"/>
      <c r="T16" s="22"/>
      <c r="U16" s="22"/>
      <c r="V16" s="23"/>
      <c r="W16" s="22"/>
      <c r="X16" s="22"/>
      <c r="Y16" s="22"/>
      <c r="Z16" s="24"/>
      <c r="AB16" s="60"/>
      <c r="AC16" s="35"/>
      <c r="AD16" s="35"/>
      <c r="AE16" s="35"/>
      <c r="AF16" s="35"/>
    </row>
    <row r="17" spans="1:32" ht="26.25" x14ac:dyDescent="0.4">
      <c r="A17" s="46"/>
      <c r="B17" s="26"/>
      <c r="C17" s="54"/>
      <c r="D17" s="59"/>
      <c r="E17" s="59"/>
      <c r="F17" s="59"/>
      <c r="G17" s="27"/>
      <c r="H17" s="27"/>
      <c r="I17" s="27"/>
      <c r="J17" s="48"/>
      <c r="K17" s="43"/>
      <c r="L17" s="44"/>
      <c r="M17" s="45"/>
      <c r="O17" s="30"/>
      <c r="P17" s="31"/>
      <c r="Q17" s="23"/>
      <c r="R17" s="31"/>
      <c r="S17" s="31"/>
      <c r="T17" s="22"/>
      <c r="U17" s="22"/>
      <c r="V17" s="23"/>
      <c r="W17" s="22"/>
      <c r="X17" s="22"/>
      <c r="Y17" s="22"/>
      <c r="Z17" s="24"/>
      <c r="AB17" s="60"/>
      <c r="AC17" s="35"/>
      <c r="AD17" s="35"/>
      <c r="AE17" s="35"/>
      <c r="AF17" s="35"/>
    </row>
    <row r="18" spans="1:32" ht="27" thickBot="1" x14ac:dyDescent="0.4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44"/>
      <c r="M18" s="45"/>
      <c r="O18" s="30"/>
      <c r="P18" s="31"/>
      <c r="Q18" s="31"/>
      <c r="R18" s="31"/>
      <c r="S18" s="31"/>
      <c r="T18" s="22"/>
      <c r="U18" s="22"/>
      <c r="V18" s="22"/>
      <c r="W18" s="22"/>
      <c r="X18" s="22"/>
      <c r="Y18" s="22"/>
      <c r="Z18" s="24"/>
      <c r="AB18" s="61"/>
      <c r="AC18" s="62"/>
      <c r="AD18" s="62"/>
      <c r="AE18" s="62"/>
      <c r="AF18" s="62"/>
    </row>
    <row r="19" spans="1:32" ht="27" thickBot="1" x14ac:dyDescent="0.45">
      <c r="A19" s="63" t="s">
        <v>56</v>
      </c>
      <c r="B19" s="38" t="s">
        <v>139</v>
      </c>
      <c r="C19" s="27"/>
      <c r="D19" s="301" t="s">
        <v>58</v>
      </c>
      <c r="E19" s="302"/>
      <c r="F19" s="303"/>
      <c r="G19" s="27"/>
      <c r="H19" s="301" t="s">
        <v>59</v>
      </c>
      <c r="I19" s="303"/>
      <c r="J19" s="54"/>
      <c r="K19" s="64"/>
      <c r="L19" s="41"/>
      <c r="M19" s="65" t="s">
        <v>60</v>
      </c>
      <c r="O19" s="66"/>
      <c r="P19" s="67"/>
      <c r="Q19" s="68"/>
      <c r="R19" s="67"/>
      <c r="S19" s="67"/>
      <c r="T19" s="69"/>
      <c r="U19" s="70"/>
      <c r="V19" s="69"/>
      <c r="W19" s="69"/>
      <c r="X19" s="69"/>
      <c r="Y19" s="69"/>
      <c r="Z19" s="71"/>
      <c r="AB19" s="62"/>
      <c r="AC19" s="62"/>
      <c r="AD19" s="62"/>
      <c r="AE19" s="62"/>
      <c r="AF19" s="62"/>
    </row>
    <row r="20" spans="1:32" ht="26.25" x14ac:dyDescent="0.4">
      <c r="A20" s="63" t="s">
        <v>61</v>
      </c>
      <c r="B20" s="38" t="s">
        <v>139</v>
      </c>
      <c r="C20" s="27"/>
      <c r="D20" s="292">
        <f>SUM(O40:Z56)*B12</f>
        <v>42</v>
      </c>
      <c r="E20" s="293"/>
      <c r="F20" s="294"/>
      <c r="G20" s="27"/>
      <c r="H20" s="292">
        <f>SUM(N138:U183)*B11</f>
        <v>25.059999999999995</v>
      </c>
      <c r="I20" s="294"/>
      <c r="J20" s="54"/>
      <c r="K20" s="28"/>
      <c r="L20" s="72"/>
      <c r="M20" s="73" t="s">
        <v>63</v>
      </c>
      <c r="N20" s="74" t="s">
        <v>64</v>
      </c>
      <c r="O20" s="11" t="s">
        <v>65</v>
      </c>
      <c r="P20" s="11" t="s">
        <v>66</v>
      </c>
      <c r="Q20" s="11" t="s">
        <v>67</v>
      </c>
      <c r="R20" s="11" t="s">
        <v>68</v>
      </c>
      <c r="S20" s="12" t="s">
        <v>69</v>
      </c>
      <c r="T20" s="75" t="s">
        <v>8</v>
      </c>
      <c r="U20" s="14" t="s">
        <v>70</v>
      </c>
      <c r="V20" s="14" t="s">
        <v>71</v>
      </c>
      <c r="W20" s="14" t="s">
        <v>11</v>
      </c>
      <c r="X20" s="14" t="s">
        <v>12</v>
      </c>
      <c r="Y20" s="14" t="s">
        <v>13</v>
      </c>
      <c r="Z20" s="15" t="s">
        <v>14</v>
      </c>
      <c r="AB20" s="298" t="s">
        <v>72</v>
      </c>
      <c r="AC20" s="299"/>
      <c r="AD20" s="299"/>
      <c r="AE20" s="299"/>
      <c r="AF20" s="300"/>
    </row>
    <row r="21" spans="1:32" ht="27" thickBot="1" x14ac:dyDescent="0.45">
      <c r="A21" s="76"/>
      <c r="B21" s="26"/>
      <c r="C21" s="27"/>
      <c r="D21" s="295"/>
      <c r="E21" s="296"/>
      <c r="F21" s="297"/>
      <c r="G21" s="27"/>
      <c r="H21" s="295"/>
      <c r="I21" s="297"/>
      <c r="J21" s="54"/>
      <c r="K21" s="28"/>
      <c r="L21" s="41"/>
      <c r="M21" s="2" t="s">
        <v>50</v>
      </c>
      <c r="N21" s="30" t="s">
        <v>19</v>
      </c>
      <c r="O21" s="77">
        <f>[1]CC_железо_NEW!M3</f>
        <v>8</v>
      </c>
      <c r="P21" s="77">
        <f>[1]CC_железо_NEW!M29</f>
        <v>11</v>
      </c>
      <c r="Q21" s="77">
        <f>[1]CC_железо_NEW!M17</f>
        <v>10.5</v>
      </c>
      <c r="R21" s="77">
        <f>[1]CC_железо_NEW!M53</f>
        <v>10</v>
      </c>
      <c r="S21" s="77">
        <f>[1]CC_железо_NEW!M41</f>
        <v>10</v>
      </c>
      <c r="T21" s="78">
        <f>[1]CC_железо_NEW!M88</f>
        <v>20</v>
      </c>
      <c r="U21" s="79">
        <f>[1]CC_железо_NEW!M76</f>
        <v>12</v>
      </c>
      <c r="V21" s="79">
        <f>[1]CC_железо_NEW!M65</f>
        <v>12</v>
      </c>
      <c r="W21" s="80">
        <f>[1]CC_железо_NEW!M100</f>
        <v>8</v>
      </c>
      <c r="X21" s="80">
        <f>[1]CC_железо_NEW!M108</f>
        <v>8</v>
      </c>
      <c r="Y21" s="22"/>
      <c r="Z21" s="24"/>
      <c r="AB21" s="81" t="s">
        <v>73</v>
      </c>
      <c r="AC21" s="82"/>
      <c r="AD21" s="82"/>
      <c r="AE21" s="82"/>
      <c r="AF21" s="83"/>
    </row>
    <row r="22" spans="1:32" ht="27" thickBot="1" x14ac:dyDescent="0.45">
      <c r="A22" s="84" t="s">
        <v>74</v>
      </c>
      <c r="B22" s="85"/>
      <c r="C22" s="53"/>
      <c r="D22" s="27"/>
      <c r="E22" s="27"/>
      <c r="F22" s="27"/>
      <c r="G22" s="27"/>
      <c r="H22" s="27"/>
      <c r="I22" s="27"/>
      <c r="J22" s="27"/>
      <c r="K22" s="28"/>
      <c r="L22" s="41"/>
      <c r="M22" s="86" t="s">
        <v>75</v>
      </c>
      <c r="N22" s="30" t="s">
        <v>23</v>
      </c>
      <c r="O22" s="77">
        <f>[1]CC_железо_NEW!M8</f>
        <v>8.5</v>
      </c>
      <c r="P22" s="55">
        <v>0</v>
      </c>
      <c r="Q22" s="77">
        <f>[1]CC_железо_NEW!M22</f>
        <v>12</v>
      </c>
      <c r="R22" s="77">
        <f>[1]CC_железо_NEW!M58</f>
        <v>11</v>
      </c>
      <c r="S22" s="55">
        <v>0</v>
      </c>
      <c r="T22" s="87">
        <v>0</v>
      </c>
      <c r="U22" s="79">
        <f>[1]CC_железо_NEW!M78</f>
        <v>12</v>
      </c>
      <c r="V22" s="79">
        <f>[1]CC_железо_NEW!M66</f>
        <v>12</v>
      </c>
      <c r="W22" s="22"/>
      <c r="X22" s="22"/>
      <c r="Y22" s="22"/>
      <c r="Z22" s="24"/>
      <c r="AB22" s="34" t="s">
        <v>76</v>
      </c>
      <c r="AC22" s="35"/>
      <c r="AD22" s="35"/>
      <c r="AE22" s="35"/>
      <c r="AF22" s="36"/>
    </row>
    <row r="23" spans="1:32" ht="27" thickBot="1" x14ac:dyDescent="0.45">
      <c r="A23" s="63" t="s">
        <v>77</v>
      </c>
      <c r="B23" s="38"/>
      <c r="C23" s="88" t="s">
        <v>39</v>
      </c>
      <c r="D23" s="301" t="s">
        <v>78</v>
      </c>
      <c r="E23" s="302"/>
      <c r="F23" s="303"/>
      <c r="G23" s="27"/>
      <c r="H23" s="27"/>
      <c r="I23" s="27"/>
      <c r="J23" s="27"/>
      <c r="K23" s="28"/>
      <c r="L23" s="41"/>
      <c r="M23" s="86" t="s">
        <v>50</v>
      </c>
      <c r="N23" s="30" t="s">
        <v>30</v>
      </c>
      <c r="O23" s="77">
        <f>[1]CC_железо_NEW!M6</f>
        <v>8</v>
      </c>
      <c r="P23" s="55">
        <v>0</v>
      </c>
      <c r="Q23" s="77">
        <f>[1]CC_железо_NEW!M20</f>
        <v>10.5</v>
      </c>
      <c r="R23" s="77">
        <f>[1]CC_железо_NEW!M57</f>
        <v>10</v>
      </c>
      <c r="S23" s="55">
        <v>0</v>
      </c>
      <c r="T23" s="87">
        <v>0</v>
      </c>
      <c r="U23" s="89">
        <v>0</v>
      </c>
      <c r="V23" s="89">
        <v>0</v>
      </c>
      <c r="W23" s="22"/>
      <c r="X23" s="22"/>
      <c r="Y23" s="22"/>
      <c r="Z23" s="24"/>
      <c r="AB23" s="34" t="s">
        <v>79</v>
      </c>
      <c r="AC23" s="35"/>
      <c r="AD23" s="35"/>
      <c r="AE23" s="35"/>
      <c r="AF23" s="36"/>
    </row>
    <row r="24" spans="1:32" ht="26.25" x14ac:dyDescent="0.4">
      <c r="A24" s="63" t="s">
        <v>80</v>
      </c>
      <c r="B24" s="38"/>
      <c r="C24" s="88" t="s">
        <v>39</v>
      </c>
      <c r="D24" s="292">
        <f>(B23*I43)+(B24*I44)+(B25*I45)+M11+L33+L34+L38+E39+A35</f>
        <v>0</v>
      </c>
      <c r="E24" s="293"/>
      <c r="F24" s="294"/>
      <c r="G24" s="27"/>
      <c r="H24" s="27"/>
      <c r="I24" s="27"/>
      <c r="J24" s="27"/>
      <c r="K24" s="28"/>
      <c r="L24" s="41"/>
      <c r="N24" s="30" t="s">
        <v>35</v>
      </c>
      <c r="O24" s="77">
        <f>[1]CC_железо_NEW!M7</f>
        <v>8</v>
      </c>
      <c r="P24" s="55">
        <v>0</v>
      </c>
      <c r="Q24" s="77">
        <f>[1]CC_железо_NEW!M21</f>
        <v>10.5</v>
      </c>
      <c r="R24" s="77">
        <f>[1]CC_железо_NEW!M56</f>
        <v>10</v>
      </c>
      <c r="S24" s="55">
        <v>0</v>
      </c>
      <c r="T24" s="87">
        <v>0</v>
      </c>
      <c r="U24" s="89">
        <v>0</v>
      </c>
      <c r="V24" s="89">
        <v>0</v>
      </c>
      <c r="W24" s="22"/>
      <c r="X24" s="22"/>
      <c r="Y24" s="22"/>
      <c r="Z24" s="24"/>
      <c r="AB24" s="34" t="s">
        <v>81</v>
      </c>
      <c r="AC24" s="35"/>
      <c r="AD24" s="35"/>
      <c r="AE24" s="35"/>
      <c r="AF24" s="36"/>
    </row>
    <row r="25" spans="1:32" ht="27" thickBot="1" x14ac:dyDescent="0.45">
      <c r="A25" s="90" t="s">
        <v>82</v>
      </c>
      <c r="B25" s="38"/>
      <c r="C25" s="88" t="s">
        <v>39</v>
      </c>
      <c r="D25" s="295"/>
      <c r="E25" s="296"/>
      <c r="F25" s="297"/>
      <c r="G25" s="27"/>
      <c r="H25" s="27"/>
      <c r="I25" s="27"/>
      <c r="J25" s="27"/>
      <c r="K25" s="28"/>
      <c r="L25" s="41"/>
      <c r="N25" s="30" t="s">
        <v>40</v>
      </c>
      <c r="O25" s="77">
        <f>[1]CC_железо_NEW!M4</f>
        <v>8.5</v>
      </c>
      <c r="P25" s="55">
        <v>0</v>
      </c>
      <c r="Q25" s="77">
        <f>[1]CC_железо_NEW!M18</f>
        <v>11</v>
      </c>
      <c r="R25" s="77">
        <f>[1]CC_железо_NEW!M54</f>
        <v>10</v>
      </c>
      <c r="S25" s="55">
        <v>0</v>
      </c>
      <c r="T25" s="87">
        <v>0</v>
      </c>
      <c r="U25" s="89">
        <v>0</v>
      </c>
      <c r="V25" s="89">
        <v>0</v>
      </c>
      <c r="W25" s="22"/>
      <c r="X25" s="22"/>
      <c r="Y25" s="22"/>
      <c r="Z25" s="24"/>
      <c r="AB25" s="34" t="s">
        <v>83</v>
      </c>
      <c r="AC25" s="35"/>
      <c r="AD25" s="35"/>
      <c r="AE25" s="35"/>
      <c r="AF25" s="36"/>
    </row>
    <row r="26" spans="1:32" ht="36" customHeight="1" x14ac:dyDescent="0.4">
      <c r="A26" s="91" t="s">
        <v>84</v>
      </c>
      <c r="B26" s="92" t="str">
        <f>N11</f>
        <v>0</v>
      </c>
      <c r="C26" s="93" t="s">
        <v>85</v>
      </c>
      <c r="D26" s="27"/>
      <c r="E26" s="27"/>
      <c r="F26" s="27"/>
      <c r="G26" s="27"/>
      <c r="H26" s="27"/>
      <c r="I26" s="27"/>
      <c r="J26" s="27"/>
      <c r="K26" s="28"/>
      <c r="L26" s="41"/>
      <c r="N26" s="94" t="s">
        <v>44</v>
      </c>
      <c r="O26" s="77">
        <f>[1]CC_железо_NEW!M5</f>
        <v>9</v>
      </c>
      <c r="P26" s="55">
        <v>0</v>
      </c>
      <c r="Q26" s="77">
        <f>[1]CC_железо_NEW!M19</f>
        <v>12.5</v>
      </c>
      <c r="R26" s="77">
        <f>[1]CC_железо_NEW!M55</f>
        <v>11.5</v>
      </c>
      <c r="S26" s="55">
        <v>0</v>
      </c>
      <c r="T26" s="87">
        <v>0</v>
      </c>
      <c r="U26" s="89">
        <v>0</v>
      </c>
      <c r="V26" s="89">
        <v>0</v>
      </c>
      <c r="W26" s="22"/>
      <c r="X26" s="22"/>
      <c r="Y26" s="22"/>
      <c r="Z26" s="24"/>
      <c r="AB26" s="95" t="s">
        <v>86</v>
      </c>
      <c r="AC26" s="57"/>
      <c r="AD26" s="57"/>
      <c r="AE26" s="57"/>
      <c r="AF26" s="58"/>
    </row>
    <row r="27" spans="1:32" ht="26.25" x14ac:dyDescent="0.4">
      <c r="A27" s="63" t="s">
        <v>87</v>
      </c>
      <c r="B27" s="38"/>
      <c r="C27" s="88"/>
      <c r="D27" s="304"/>
      <c r="E27" s="304"/>
      <c r="F27" s="304"/>
      <c r="G27" s="304"/>
      <c r="H27" s="304"/>
      <c r="I27" s="304"/>
      <c r="J27" s="27"/>
      <c r="K27" s="28"/>
      <c r="L27" s="41"/>
      <c r="N27" s="30" t="s">
        <v>24</v>
      </c>
      <c r="O27" s="77">
        <f>[1]CC_железо_NEW!M9</f>
        <v>9.5</v>
      </c>
      <c r="P27" s="55">
        <v>0</v>
      </c>
      <c r="Q27" s="77">
        <f>[1]CC_железо_NEW!M23</f>
        <v>13.5</v>
      </c>
      <c r="R27" s="55">
        <v>0</v>
      </c>
      <c r="S27" s="77">
        <f>[1]CC_железо_NEW!M42</f>
        <v>12</v>
      </c>
      <c r="T27" s="87">
        <v>0</v>
      </c>
      <c r="U27" s="89">
        <v>0</v>
      </c>
      <c r="V27" s="89">
        <v>0</v>
      </c>
      <c r="W27" s="96"/>
      <c r="X27" s="96"/>
      <c r="Y27" s="96"/>
      <c r="Z27" s="97"/>
      <c r="AA27" s="98"/>
      <c r="AB27" s="98"/>
      <c r="AC27" s="98"/>
    </row>
    <row r="28" spans="1:32" ht="26.25" x14ac:dyDescent="0.4">
      <c r="A28" s="63" t="s">
        <v>88</v>
      </c>
      <c r="B28" s="38"/>
      <c r="C28" s="88"/>
      <c r="D28" s="99"/>
      <c r="E28" s="99"/>
      <c r="F28" s="99"/>
      <c r="G28" s="99"/>
      <c r="H28" s="99"/>
      <c r="I28" s="99"/>
      <c r="J28" s="27"/>
      <c r="K28" s="28"/>
      <c r="L28" s="41"/>
      <c r="N28" s="30" t="s">
        <v>31</v>
      </c>
      <c r="O28" s="77">
        <f>[1]CC_железо_NEW!M12</f>
        <v>8.5</v>
      </c>
      <c r="P28" s="55">
        <v>0</v>
      </c>
      <c r="Q28" s="77">
        <f>[1]CC_железо_NEW!M26</f>
        <v>12</v>
      </c>
      <c r="R28" s="77">
        <f>[1]CC_железо_NEW!M61</f>
        <v>11</v>
      </c>
      <c r="S28" s="55">
        <v>0</v>
      </c>
      <c r="T28" s="87">
        <v>0</v>
      </c>
      <c r="U28" s="79">
        <f>[1]CC_железо_NEW!M79</f>
        <v>12</v>
      </c>
      <c r="V28" s="79">
        <f>[1]CC_железо_NEW!M67</f>
        <v>12</v>
      </c>
      <c r="W28" s="96"/>
      <c r="X28" s="96"/>
      <c r="Y28" s="96"/>
      <c r="Z28" s="97"/>
      <c r="AA28" s="98"/>
      <c r="AB28" s="98"/>
      <c r="AC28" s="98"/>
    </row>
    <row r="29" spans="1:32" ht="26.25" x14ac:dyDescent="0.4">
      <c r="A29" s="100" t="s">
        <v>89</v>
      </c>
      <c r="B29" s="101"/>
      <c r="C29" s="102" t="s">
        <v>90</v>
      </c>
      <c r="D29" s="99"/>
      <c r="E29" s="99"/>
      <c r="F29" s="99"/>
      <c r="G29" s="99"/>
      <c r="H29" s="99"/>
      <c r="I29" s="99"/>
      <c r="J29" s="27"/>
      <c r="K29" s="28"/>
      <c r="L29" s="41"/>
      <c r="N29" s="30" t="s">
        <v>51</v>
      </c>
      <c r="O29" s="77">
        <f>[1]CC_железо_NEW!M11</f>
        <v>9.5</v>
      </c>
      <c r="P29" s="55">
        <v>0</v>
      </c>
      <c r="Q29" s="77">
        <f>[1]CC_железо_NEW!M25</f>
        <v>9.5</v>
      </c>
      <c r="R29" s="55">
        <v>0</v>
      </c>
      <c r="S29" s="55">
        <v>0</v>
      </c>
      <c r="T29" s="87">
        <v>0</v>
      </c>
      <c r="U29" s="89">
        <v>0</v>
      </c>
      <c r="V29" s="89">
        <v>0</v>
      </c>
      <c r="W29" s="22"/>
      <c r="X29" s="22"/>
      <c r="Y29" s="22"/>
      <c r="Z29" s="24"/>
    </row>
    <row r="30" spans="1:32" ht="26.25" x14ac:dyDescent="0.4">
      <c r="A30" s="76"/>
      <c r="B30" s="26"/>
      <c r="C30" s="27"/>
      <c r="D30" s="99"/>
      <c r="E30" s="99"/>
      <c r="F30" s="99"/>
      <c r="G30" s="99"/>
      <c r="H30" s="99"/>
      <c r="I30" s="99"/>
      <c r="J30" s="27"/>
      <c r="K30" s="28"/>
      <c r="L30" s="41"/>
      <c r="N30" s="30" t="s">
        <v>91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87">
        <v>0</v>
      </c>
      <c r="U30" s="89">
        <v>0</v>
      </c>
      <c r="V30" s="89">
        <v>0</v>
      </c>
      <c r="W30" s="22"/>
      <c r="X30" s="22"/>
      <c r="Y30" s="22"/>
      <c r="Z30" s="24"/>
    </row>
    <row r="31" spans="1:32" ht="30.75" customHeight="1" x14ac:dyDescent="0.4">
      <c r="A31" s="76" t="s">
        <v>92</v>
      </c>
      <c r="B31" s="38"/>
      <c r="C31" s="27"/>
      <c r="D31" s="99"/>
      <c r="E31" s="99"/>
      <c r="F31" s="99"/>
      <c r="G31" s="99"/>
      <c r="H31" s="99"/>
      <c r="I31" s="99"/>
      <c r="J31" s="27"/>
      <c r="K31" s="28"/>
      <c r="L31" s="41"/>
      <c r="N31" s="30" t="s">
        <v>93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87">
        <v>0</v>
      </c>
      <c r="U31" s="89">
        <v>0</v>
      </c>
      <c r="V31" s="89">
        <v>0</v>
      </c>
      <c r="W31" s="22"/>
      <c r="X31" s="22"/>
      <c r="Y31" s="22"/>
      <c r="Z31" s="24"/>
    </row>
    <row r="32" spans="1:32" ht="27" thickBot="1" x14ac:dyDescent="0.45">
      <c r="A32" s="103"/>
      <c r="B32" s="104"/>
      <c r="C32" s="105"/>
      <c r="D32" s="106"/>
      <c r="E32" s="106"/>
      <c r="F32" s="106"/>
      <c r="G32" s="105"/>
      <c r="H32" s="105"/>
      <c r="I32" s="105"/>
      <c r="J32" s="105"/>
      <c r="K32" s="107"/>
      <c r="L32" s="108"/>
      <c r="N32" s="30" t="s">
        <v>25</v>
      </c>
      <c r="O32" s="77">
        <f>[1]CC_железо_NEW!M10</f>
        <v>9.5</v>
      </c>
      <c r="P32" s="55">
        <v>0</v>
      </c>
      <c r="Q32" s="77">
        <f>[1]CC_железо_NEW!M24</f>
        <v>13.5</v>
      </c>
      <c r="R32" s="77">
        <f>[1]CC_железо_NEW!M59</f>
        <v>12</v>
      </c>
      <c r="S32" s="55">
        <v>0</v>
      </c>
      <c r="T32" s="89">
        <v>0</v>
      </c>
      <c r="U32" s="79">
        <f>[1]CC_железо_NEW!M77</f>
        <v>13</v>
      </c>
      <c r="V32" s="109">
        <f>[1]CC_железо_NEW!M69</f>
        <v>12</v>
      </c>
      <c r="W32" s="22"/>
      <c r="X32" s="22"/>
      <c r="Y32" s="22"/>
      <c r="Z32" s="24"/>
    </row>
    <row r="33" spans="1:26" hidden="1" x14ac:dyDescent="0.25">
      <c r="D33" s="111">
        <f>IF(B27="фацет 5мм",I47,0)</f>
        <v>0</v>
      </c>
      <c r="E33" s="111">
        <f>IF(B27="фацет 10мм",I48,0)</f>
        <v>0</v>
      </c>
      <c r="F33" s="111">
        <f>IF(B27="фацет 15мм",I49,0)</f>
        <v>0</v>
      </c>
      <c r="K33" s="112">
        <f>SUM(D33:F33)</f>
        <v>0</v>
      </c>
      <c r="L33" s="111">
        <f>B12*K33</f>
        <v>0</v>
      </c>
      <c r="N33" s="30" t="s">
        <v>21</v>
      </c>
      <c r="O33" s="113">
        <v>0</v>
      </c>
      <c r="P33" s="55"/>
      <c r="Q33" s="113"/>
      <c r="R33" s="113"/>
      <c r="S33" s="55"/>
      <c r="T33" s="89"/>
      <c r="U33" s="114"/>
      <c r="V33" s="89"/>
      <c r="W33" s="22"/>
      <c r="X33" s="22"/>
      <c r="Y33" s="115">
        <f>[1]CC_железо_NEW!M117</f>
        <v>18</v>
      </c>
      <c r="Z33" s="116">
        <f>[1]CC_железо_NEW!M126</f>
        <v>22</v>
      </c>
    </row>
    <row r="34" spans="1:26" hidden="1" x14ac:dyDescent="0.25">
      <c r="A34" s="9" t="s">
        <v>94</v>
      </c>
      <c r="B34" s="117"/>
      <c r="D34" s="118"/>
      <c r="E34" s="118"/>
      <c r="F34" s="118"/>
      <c r="G34" s="118">
        <f>IF(B28="гравировка ромбы 5мм",#REF!,0)</f>
        <v>0</v>
      </c>
      <c r="H34" s="118">
        <f>IF(B28="гравировка ромбы 6мм, м2",I50,0)</f>
        <v>0</v>
      </c>
      <c r="I34" s="118">
        <f>IF(B28="гравировка ромбы 10мм, м2",I51,0)</f>
        <v>0</v>
      </c>
      <c r="K34" s="119">
        <f>SUM(G34:I34)</f>
        <v>0</v>
      </c>
      <c r="L34" s="118">
        <f>B11*K34</f>
        <v>0</v>
      </c>
      <c r="N34" s="30"/>
      <c r="O34" s="113">
        <v>0</v>
      </c>
      <c r="P34" s="55"/>
      <c r="Q34" s="113"/>
      <c r="R34" s="113"/>
      <c r="S34" s="55"/>
      <c r="T34" s="89"/>
      <c r="U34" s="114"/>
      <c r="V34" s="114"/>
      <c r="W34" s="22"/>
      <c r="X34" s="22"/>
      <c r="Y34" s="22"/>
      <c r="Z34" s="24"/>
    </row>
    <row r="35" spans="1:26" hidden="1" x14ac:dyDescent="0.25">
      <c r="A35" s="9">
        <f>B11*I61*B35</f>
        <v>0</v>
      </c>
      <c r="B35" s="117">
        <f>IF(B22=K41,1,0)</f>
        <v>0</v>
      </c>
      <c r="D35" s="118"/>
      <c r="E35" s="118"/>
      <c r="F35" s="118"/>
      <c r="G35" s="118" t="s">
        <v>95</v>
      </c>
      <c r="H35" s="118" t="s">
        <v>96</v>
      </c>
      <c r="I35" s="118" t="s">
        <v>97</v>
      </c>
      <c r="N35" s="30"/>
      <c r="O35" s="113"/>
      <c r="P35" s="55"/>
      <c r="Q35" s="113"/>
      <c r="R35" s="113"/>
      <c r="S35" s="55"/>
      <c r="T35" s="89"/>
      <c r="U35" s="114"/>
      <c r="V35" s="114"/>
      <c r="W35" s="22"/>
      <c r="X35" s="22"/>
      <c r="Y35" s="22"/>
      <c r="Z35" s="24"/>
    </row>
    <row r="36" spans="1:26" hidden="1" x14ac:dyDescent="0.25">
      <c r="N36" s="30" t="s">
        <v>98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89">
        <v>0</v>
      </c>
      <c r="U36" s="89">
        <v>0</v>
      </c>
      <c r="V36" s="89">
        <v>0</v>
      </c>
      <c r="W36" s="22"/>
      <c r="X36" s="22"/>
      <c r="Y36" s="22"/>
      <c r="Z36" s="24"/>
    </row>
    <row r="37" spans="1:26" ht="15.75" hidden="1" thickBot="1" x14ac:dyDescent="0.3">
      <c r="N37" s="66" t="s">
        <v>36</v>
      </c>
      <c r="O37" s="120">
        <f>[1]CC_железо_NEW!M15</f>
        <v>9</v>
      </c>
      <c r="P37" s="121"/>
      <c r="Q37" s="121"/>
      <c r="R37" s="120">
        <f>[1]CC_железо_NEW!M60</f>
        <v>11.5</v>
      </c>
      <c r="S37" s="121"/>
      <c r="T37" s="122"/>
      <c r="U37" s="123">
        <f>[1]CC_железо_NEW!M80</f>
        <v>12</v>
      </c>
      <c r="V37" s="123">
        <f>[1]CC_железо_NEW!M68</f>
        <v>12</v>
      </c>
      <c r="W37" s="69"/>
      <c r="X37" s="69"/>
      <c r="Y37" s="69"/>
      <c r="Z37" s="71"/>
    </row>
    <row r="38" spans="1:26" ht="15.75" hidden="1" thickBot="1" x14ac:dyDescent="0.3">
      <c r="D38" s="118">
        <f>IF(B31="пескоструй сплошной",D69,0)</f>
        <v>0</v>
      </c>
      <c r="E38" s="118">
        <f>IF(B31="пескостуй по лицу",D70,0)</f>
        <v>0</v>
      </c>
      <c r="F38" s="118">
        <f>IF(B31="пескоструй по амальгамме/краске",D71,0)</f>
        <v>0</v>
      </c>
      <c r="G38" s="118">
        <f>IF(B31="пескоструй цветной",D72,0)</f>
        <v>0</v>
      </c>
      <c r="K38" s="119">
        <f>SUM(D38:I38)</f>
        <v>0</v>
      </c>
      <c r="L38" s="118">
        <f>B11*K38</f>
        <v>0</v>
      </c>
    </row>
    <row r="39" spans="1:26" hidden="1" x14ac:dyDescent="0.25">
      <c r="D39" s="124" t="s">
        <v>99</v>
      </c>
      <c r="E39" s="125">
        <f>B29*I62</f>
        <v>0</v>
      </c>
      <c r="N39" s="74" t="s">
        <v>64</v>
      </c>
      <c r="O39" s="12" t="s">
        <v>65</v>
      </c>
      <c r="P39" s="12" t="s">
        <v>66</v>
      </c>
      <c r="Q39" s="12" t="s">
        <v>67</v>
      </c>
      <c r="R39" s="12" t="s">
        <v>68</v>
      </c>
      <c r="S39" s="12" t="s">
        <v>69</v>
      </c>
      <c r="T39" s="126" t="s">
        <v>8</v>
      </c>
      <c r="U39" s="14" t="s">
        <v>70</v>
      </c>
      <c r="V39" s="14" t="s">
        <v>71</v>
      </c>
      <c r="W39" s="14" t="s">
        <v>11</v>
      </c>
      <c r="X39" s="14" t="s">
        <v>12</v>
      </c>
      <c r="Y39" s="14" t="s">
        <v>13</v>
      </c>
      <c r="Z39" s="15" t="s">
        <v>14</v>
      </c>
    </row>
    <row r="40" spans="1:26" hidden="1" x14ac:dyDescent="0.25">
      <c r="A40" s="127" t="s">
        <v>62</v>
      </c>
      <c r="B40" s="128">
        <f>[1]Z_фасады_СС!B40*1.4</f>
        <v>12.459999999999999</v>
      </c>
      <c r="N40" s="30" t="s">
        <v>19</v>
      </c>
      <c r="O40" s="55">
        <f>IF(AND(B14="MZ_1",B15="серебро"),O21,0)</f>
        <v>0</v>
      </c>
      <c r="P40" s="55">
        <f>IF(AND(B14="MZ_3",B15="серебро"),P21,0)</f>
        <v>0</v>
      </c>
      <c r="Q40" s="55">
        <f>IF(AND(B14="MZ_4",B15="серебро"),Q21,0)</f>
        <v>0</v>
      </c>
      <c r="R40" s="55">
        <f>IF(AND(B14="MZ_12",B15="серебро"),R21,0)</f>
        <v>0</v>
      </c>
      <c r="S40" s="55">
        <f>IF(AND(B14="MZ_9",B15="серебро"),S21,0)</f>
        <v>0</v>
      </c>
      <c r="T40" s="55">
        <f>IF(AND(B14="Z_2018",B15="хром"),T21,0)</f>
        <v>0</v>
      </c>
      <c r="U40" s="55">
        <f>IF(AND(B14="MZ_17",B15="серебро"),U21,0)</f>
        <v>0</v>
      </c>
      <c r="V40" s="55">
        <f>IF(AND(B14="MZ_13",B15="серебро"),V21,0)</f>
        <v>0</v>
      </c>
      <c r="W40" s="129">
        <f>IF(AND(B14="MZ_2",B15="серебро"),W21,0)</f>
        <v>0</v>
      </c>
      <c r="X40" s="129">
        <f>IF(AND(B14="MZ_7",B15="серебро"),X21,0)</f>
        <v>0</v>
      </c>
      <c r="Y40" s="22"/>
      <c r="Z40" s="24"/>
    </row>
    <row r="41" spans="1:26" ht="26.25" hidden="1" x14ac:dyDescent="0.4">
      <c r="A41" s="127" t="s">
        <v>100</v>
      </c>
      <c r="B41" s="128">
        <f>[1]Z_фасады_СС!B41*1.4</f>
        <v>19.04</v>
      </c>
      <c r="K41" s="130" t="s">
        <v>101</v>
      </c>
      <c r="N41" s="30" t="s">
        <v>23</v>
      </c>
      <c r="O41" s="55">
        <f>IF(AND(B14="MZ_1",B15="инокс"),O22,0)</f>
        <v>0</v>
      </c>
      <c r="P41" s="55"/>
      <c r="Q41" s="55">
        <f>IF(AND(B14="MZ_4",B15="инокс"),Q22,0)</f>
        <v>0</v>
      </c>
      <c r="R41" s="55">
        <f>IF(AND(B14="MZ_12",B15="инокс"),R22,0)</f>
        <v>0</v>
      </c>
      <c r="S41" s="55"/>
      <c r="T41" s="89"/>
      <c r="U41" s="55">
        <f>IF(AND(B14="MZ_17",B15="инокс"),U22,0)</f>
        <v>0</v>
      </c>
      <c r="V41" s="89">
        <f>IF(AND(B14="MZ_13",B15="инокс"),V22,0)</f>
        <v>0</v>
      </c>
      <c r="W41" s="22"/>
      <c r="X41" s="22"/>
      <c r="Y41" s="22"/>
      <c r="Z41" s="24"/>
    </row>
    <row r="42" spans="1:26" ht="26.25" hidden="1" x14ac:dyDescent="0.4">
      <c r="A42" s="127" t="s">
        <v>102</v>
      </c>
      <c r="B42" s="128">
        <f>[1]Z_фасады_СС!B42*1.4</f>
        <v>26.599999999999998</v>
      </c>
      <c r="E42" s="131" t="s">
        <v>103</v>
      </c>
      <c r="I42" s="132" t="s">
        <v>85</v>
      </c>
      <c r="K42" s="130" t="s">
        <v>104</v>
      </c>
      <c r="N42" s="30" t="s">
        <v>30</v>
      </c>
      <c r="O42" s="55">
        <f>IF(AND(B14="MZ_1",B15="шампань"),O23,0)</f>
        <v>0</v>
      </c>
      <c r="P42" s="55"/>
      <c r="Q42" s="55">
        <f>IF(AND(B14="MZ_4",B15="шампань"),Q23,0)</f>
        <v>10.5</v>
      </c>
      <c r="R42" s="55">
        <f>IF(AND(B14="MZ_12",B15="шампань"),R23,0)</f>
        <v>0</v>
      </c>
      <c r="S42" s="55"/>
      <c r="T42" s="89"/>
      <c r="U42" s="55">
        <f>IF(AND(B14="MZ_17",B15="никель"),U33,0)</f>
        <v>0</v>
      </c>
      <c r="V42" s="89"/>
      <c r="W42" s="22"/>
      <c r="X42" s="22"/>
      <c r="Y42" s="22"/>
      <c r="Z42" s="24"/>
    </row>
    <row r="43" spans="1:26" hidden="1" x14ac:dyDescent="0.25">
      <c r="A43" s="127" t="s">
        <v>105</v>
      </c>
      <c r="B43" s="128">
        <f>[1]Z_фасады_СС!B43*1.4</f>
        <v>38.08</v>
      </c>
      <c r="C43" s="133" t="s">
        <v>106</v>
      </c>
      <c r="D43" s="134">
        <f>[1]Z_фасады_СС!D43*1.4</f>
        <v>25.2</v>
      </c>
      <c r="E43" s="134">
        <f t="shared" ref="E43:E46" si="0">D43+B40</f>
        <v>37.659999999999997</v>
      </c>
      <c r="G43" s="135" t="s">
        <v>107</v>
      </c>
      <c r="H43" s="21"/>
      <c r="I43" s="136">
        <f>[1]Z_фасады_СС!I43*1.4</f>
        <v>0.7</v>
      </c>
      <c r="J43"/>
      <c r="N43" s="30" t="s">
        <v>35</v>
      </c>
      <c r="O43" s="55">
        <f>IF(AND(B14="MZ_1",B15="коньяк"),O24,0)</f>
        <v>0</v>
      </c>
      <c r="P43" s="55"/>
      <c r="Q43" s="55">
        <f>IF(AND(B14="MZ_4",B15="коньяк"),Q24,0)</f>
        <v>0</v>
      </c>
      <c r="R43" s="55">
        <f>IF(AND(B14="MZ_12",B15="коньяк"),R24,0)</f>
        <v>0</v>
      </c>
      <c r="S43" s="55"/>
      <c r="T43" s="89"/>
      <c r="U43" s="55">
        <f>IF(AND(B14="MZ_17",B15="черный матовый"),U34,0)</f>
        <v>0</v>
      </c>
      <c r="V43" s="89"/>
      <c r="W43" s="22"/>
      <c r="X43" s="22"/>
      <c r="Y43" s="22"/>
      <c r="Z43" s="24"/>
    </row>
    <row r="44" spans="1:26" hidden="1" x14ac:dyDescent="0.25">
      <c r="A44" s="127" t="s">
        <v>108</v>
      </c>
      <c r="B44" s="128">
        <f>[1]Z_фасады_СС!B44*1.4</f>
        <v>34.159999999999997</v>
      </c>
      <c r="C44" s="127" t="s">
        <v>109</v>
      </c>
      <c r="D44" s="134">
        <f>[1]Z_фасады_СС!D44*1.4</f>
        <v>25.2</v>
      </c>
      <c r="E44" s="134">
        <f t="shared" si="0"/>
        <v>44.239999999999995</v>
      </c>
      <c r="G44" s="135" t="s">
        <v>80</v>
      </c>
      <c r="H44" s="21"/>
      <c r="I44" s="136">
        <f>[1]Z_фасады_СС!I44*1.4</f>
        <v>0.55999999999999994</v>
      </c>
      <c r="J44"/>
      <c r="N44" s="30" t="s">
        <v>40</v>
      </c>
      <c r="O44" s="55">
        <f>IF(AND(B14="MZ_1",B15="белый глянец RAL 9016"),O25,0)</f>
        <v>0</v>
      </c>
      <c r="P44" s="55"/>
      <c r="Q44" s="55">
        <f>IF(AND(B14="MZ_4",B15="белый глянец RAL 9016"),Q25,0)</f>
        <v>0</v>
      </c>
      <c r="R44" s="55">
        <f>IF(AND(B14="MZ_12",B15="белый глянец RAL 9016"),R25,0)</f>
        <v>0</v>
      </c>
      <c r="S44" s="55"/>
      <c r="T44" s="89"/>
      <c r="U44" s="89"/>
      <c r="V44" s="89"/>
      <c r="W44" s="22"/>
      <c r="X44" s="22"/>
      <c r="Y44" s="22"/>
      <c r="Z44" s="24"/>
    </row>
    <row r="45" spans="1:26" hidden="1" x14ac:dyDescent="0.25">
      <c r="A45" s="127" t="s">
        <v>110</v>
      </c>
      <c r="B45" s="128">
        <f>[1]Z_фасады_СС!B45*1.4</f>
        <v>34.159999999999997</v>
      </c>
      <c r="C45" s="127" t="s">
        <v>111</v>
      </c>
      <c r="D45" s="134">
        <f>[1]Z_фасады_СС!D45*1.4</f>
        <v>42</v>
      </c>
      <c r="E45" s="134">
        <f t="shared" si="0"/>
        <v>68.599999999999994</v>
      </c>
      <c r="G45" s="283" t="s">
        <v>112</v>
      </c>
      <c r="H45" s="284"/>
      <c r="I45" s="136">
        <f>[1]Z_фасады_СС!I45*1.4</f>
        <v>1.4</v>
      </c>
      <c r="J45"/>
      <c r="N45" s="94" t="s">
        <v>44</v>
      </c>
      <c r="O45" s="55">
        <f>IF(AND(B14="MZ_1",B15="титан"),O26,0)</f>
        <v>0</v>
      </c>
      <c r="P45" s="55"/>
      <c r="Q45" s="55">
        <f>IF(AND(B14="MZ_4",B15="титан"),Q26,0)</f>
        <v>0</v>
      </c>
      <c r="R45" s="55">
        <f>IF(AND(B14="MZ_12",B15="титан"),R26,0)</f>
        <v>0</v>
      </c>
      <c r="S45" s="55"/>
      <c r="T45" s="89"/>
      <c r="U45" s="89"/>
      <c r="V45" s="89"/>
      <c r="W45" s="22"/>
      <c r="X45" s="22"/>
      <c r="Y45" s="22"/>
      <c r="Z45" s="24"/>
    </row>
    <row r="46" spans="1:26" hidden="1" x14ac:dyDescent="0.25">
      <c r="A46" s="127" t="s">
        <v>113</v>
      </c>
      <c r="B46" s="128">
        <f>[1]Z_фасады_СС!B46*1.4</f>
        <v>20.439999999999998</v>
      </c>
      <c r="C46" s="127" t="s">
        <v>114</v>
      </c>
      <c r="D46" s="134">
        <f>[1]Z_фасады_СС!D46*1.4</f>
        <v>42</v>
      </c>
      <c r="E46" s="134">
        <f t="shared" si="0"/>
        <v>80.08</v>
      </c>
      <c r="G46" s="285" t="s">
        <v>115</v>
      </c>
      <c r="H46" s="286"/>
      <c r="I46" s="136">
        <f>[1]Z_фасады_СС!I46*1.4</f>
        <v>2.2399999999999998</v>
      </c>
      <c r="J46" t="s">
        <v>47</v>
      </c>
      <c r="N46" s="30" t="s">
        <v>24</v>
      </c>
      <c r="O46" s="55">
        <f>IF(AND(B14="MZ_1",B15="серебро браш"),O27,0)</f>
        <v>0</v>
      </c>
      <c r="P46" s="55"/>
      <c r="Q46" s="55">
        <f>IF(AND(B14="MZ_4",B15="серебро браш"),Q27,0)</f>
        <v>0</v>
      </c>
      <c r="R46" s="55"/>
      <c r="S46" s="55">
        <f>IF(AND(B14="MZ_9",B15="серебро браш"),S27,0)</f>
        <v>0</v>
      </c>
      <c r="T46" s="89"/>
      <c r="U46" s="89"/>
      <c r="V46" s="89"/>
      <c r="W46" s="22"/>
      <c r="X46" s="22"/>
      <c r="Y46" s="22"/>
      <c r="Z46" s="24"/>
    </row>
    <row r="47" spans="1:26" hidden="1" x14ac:dyDescent="0.25">
      <c r="A47" s="127" t="s">
        <v>116</v>
      </c>
      <c r="B47" s="128">
        <f>[1]Z_фасады_СС!B47*1.4</f>
        <v>28.14</v>
      </c>
      <c r="C47" s="127" t="s">
        <v>117</v>
      </c>
      <c r="D47" s="134">
        <f>[1]Z_фасады_СС!D47*1.4</f>
        <v>49</v>
      </c>
      <c r="E47" s="134">
        <f>D47+B46</f>
        <v>69.44</v>
      </c>
      <c r="G47" s="137" t="s">
        <v>118</v>
      </c>
      <c r="H47" s="21"/>
      <c r="I47" s="136">
        <f>[1]Z_фасады_СС!I47*1.4</f>
        <v>3.2199999999999998</v>
      </c>
      <c r="J47" t="s">
        <v>47</v>
      </c>
      <c r="N47" s="30" t="s">
        <v>31</v>
      </c>
      <c r="O47" s="55">
        <f>IF(AND(B14="MZ_1",B15="латунь"),O28,0)</f>
        <v>0</v>
      </c>
      <c r="P47" s="55"/>
      <c r="Q47" s="55">
        <f>IF(AND(B14="MZ_4",B15="латунь"),Q28,0)</f>
        <v>0</v>
      </c>
      <c r="R47" s="55">
        <f>IF(AND(B14="MZ_12",B15="латунь"),R28,0)</f>
        <v>0</v>
      </c>
      <c r="S47" s="55"/>
      <c r="T47" s="89"/>
      <c r="U47" s="89">
        <f>IF(AND(B14="MZ_17",B15="латунь"),U28,0)</f>
        <v>0</v>
      </c>
      <c r="V47" s="89">
        <f>IF(AND(B14="MZ_13",B15="латунь"),V28,0)</f>
        <v>0</v>
      </c>
      <c r="W47" s="22"/>
      <c r="X47" s="22"/>
      <c r="Y47" s="22"/>
      <c r="Z47" s="24"/>
    </row>
    <row r="48" spans="1:26" hidden="1" x14ac:dyDescent="0.25">
      <c r="A48" s="21" t="s">
        <v>119</v>
      </c>
      <c r="B48" s="128">
        <f>[1]Z_фасады_СС!B48*1.4</f>
        <v>27.44</v>
      </c>
      <c r="C48" s="127" t="s">
        <v>120</v>
      </c>
      <c r="D48" s="134">
        <f>[1]Z_фасады_СС!D48*1.4</f>
        <v>49</v>
      </c>
      <c r="E48" s="134">
        <f>D48+B47</f>
        <v>77.14</v>
      </c>
      <c r="G48" s="137" t="s">
        <v>121</v>
      </c>
      <c r="H48" s="21"/>
      <c r="I48" s="136">
        <f>[1]Z_фасады_СС!I48*1.4</f>
        <v>4.1999999999999993</v>
      </c>
      <c r="J48" t="s">
        <v>47</v>
      </c>
      <c r="N48" s="30" t="s">
        <v>51</v>
      </c>
      <c r="O48" s="55">
        <f>IF(AND(B14="MZ_1",B15="шампань браш"),O29,0)</f>
        <v>0</v>
      </c>
      <c r="P48" s="55"/>
      <c r="Q48" s="55">
        <f>IF(AND(B14="MZ_4",B15="шампань браш"),Q29,0)</f>
        <v>0</v>
      </c>
      <c r="R48" s="55"/>
      <c r="S48" s="55"/>
      <c r="T48" s="89"/>
      <c r="U48" s="89"/>
      <c r="V48" s="89"/>
      <c r="W48" s="22"/>
      <c r="X48" s="22"/>
      <c r="Y48" s="22"/>
      <c r="Z48" s="24"/>
    </row>
    <row r="49" spans="1:26" hidden="1" x14ac:dyDescent="0.25">
      <c r="A49" s="127" t="s">
        <v>122</v>
      </c>
      <c r="B49" s="128">
        <f>[1]Z_фасады_СС!B49*1.4</f>
        <v>18.34</v>
      </c>
      <c r="C49" s="138" t="s">
        <v>123</v>
      </c>
      <c r="D49" s="134">
        <f>[1]Z_фасады_СС!D49*1.4</f>
        <v>35</v>
      </c>
      <c r="E49" s="134">
        <f>D49+B44</f>
        <v>69.16</v>
      </c>
      <c r="G49" s="137" t="s">
        <v>124</v>
      </c>
      <c r="H49" s="21"/>
      <c r="I49" s="136">
        <f>[1]Z_фасады_СС!I49*1.4</f>
        <v>4.8999999999999995</v>
      </c>
      <c r="J49" t="s">
        <v>47</v>
      </c>
      <c r="N49" s="30" t="s">
        <v>91</v>
      </c>
      <c r="O49" s="55"/>
      <c r="P49" s="55"/>
      <c r="Q49" s="55">
        <f>IF(AND(B14="MZ_4",B15="графит браш"),Q30,0)</f>
        <v>0</v>
      </c>
      <c r="R49" s="55"/>
      <c r="S49" s="55"/>
      <c r="T49" s="89"/>
      <c r="U49" s="89"/>
      <c r="V49" s="89"/>
      <c r="W49" s="22"/>
      <c r="X49" s="22"/>
      <c r="Y49" s="22"/>
      <c r="Z49" s="24"/>
    </row>
    <row r="50" spans="1:26" hidden="1" x14ac:dyDescent="0.25">
      <c r="A50" s="127" t="s">
        <v>125</v>
      </c>
      <c r="B50" s="128">
        <f>[1]Z_фасады_СС!B50*1.4</f>
        <v>29.119999999999997</v>
      </c>
      <c r="C50" s="138" t="s">
        <v>126</v>
      </c>
      <c r="D50" s="134">
        <f>[1]Z_фасады_СС!D50*1.4</f>
        <v>35</v>
      </c>
      <c r="E50" s="134">
        <f>D50+B45</f>
        <v>69.16</v>
      </c>
      <c r="G50" s="287" t="s">
        <v>127</v>
      </c>
      <c r="H50" s="288"/>
      <c r="I50" s="139">
        <v>50</v>
      </c>
      <c r="J50" t="s">
        <v>43</v>
      </c>
      <c r="N50" s="30" t="s">
        <v>93</v>
      </c>
      <c r="O50" s="55"/>
      <c r="P50" s="55"/>
      <c r="Q50" s="55">
        <f>IF(AND(B14="MZ_4",B15="венге глянец"),Q31,0)</f>
        <v>0</v>
      </c>
      <c r="R50" s="55"/>
      <c r="S50" s="55"/>
      <c r="T50" s="89"/>
      <c r="U50" s="89"/>
      <c r="V50" s="89"/>
      <c r="W50" s="22"/>
      <c r="X50" s="22"/>
      <c r="Y50" s="22"/>
      <c r="Z50" s="24"/>
    </row>
    <row r="51" spans="1:26" hidden="1" x14ac:dyDescent="0.25">
      <c r="A51" s="21" t="s">
        <v>128</v>
      </c>
      <c r="B51" s="128">
        <f>[1]Z_фасады_СС!B51*1.4</f>
        <v>34.159999999999997</v>
      </c>
      <c r="C51" s="127" t="s">
        <v>129</v>
      </c>
      <c r="D51" s="134">
        <f>[1]Z_фасады_СС!D51*1.4</f>
        <v>35</v>
      </c>
      <c r="E51" s="134">
        <f>D51+B42</f>
        <v>61.599999999999994</v>
      </c>
      <c r="G51" s="287" t="s">
        <v>130</v>
      </c>
      <c r="H51" s="288"/>
      <c r="I51" s="139">
        <v>50</v>
      </c>
      <c r="J51" t="s">
        <v>43</v>
      </c>
      <c r="N51" s="30" t="s">
        <v>25</v>
      </c>
      <c r="O51" s="55">
        <f>IF(AND(B14="MZ_1",B15="черный браш"),O32,0)</f>
        <v>0</v>
      </c>
      <c r="P51" s="21"/>
      <c r="Q51" s="55">
        <f>IF(AND(B14="MZ_4",B15="черный браш"),Q32,0)</f>
        <v>0</v>
      </c>
      <c r="R51" s="55">
        <f>IF(AND(B14="MZ_12",B15="черный браш"),R32,0)</f>
        <v>0</v>
      </c>
      <c r="S51" s="21"/>
      <c r="T51" s="22"/>
      <c r="U51" s="55">
        <f>IF(AND(B14="MZ_17",B15="черный браш"),U32,0)</f>
        <v>0</v>
      </c>
      <c r="V51" s="22">
        <f>IF(AND(B14="MZ_13",B15="черный браш"),V32,0)</f>
        <v>0</v>
      </c>
      <c r="W51" s="22"/>
      <c r="X51" s="22"/>
      <c r="Y51" s="22"/>
      <c r="Z51" s="24"/>
    </row>
    <row r="52" spans="1:26" hidden="1" x14ac:dyDescent="0.25">
      <c r="A52" s="21"/>
      <c r="B52" s="128">
        <f>[1]Z_фасады_СС!B52*1.4</f>
        <v>0</v>
      </c>
      <c r="C52" s="127"/>
      <c r="D52" s="134">
        <f>[1]Z_фасады_СС!D52*1.4</f>
        <v>0</v>
      </c>
      <c r="E52" s="134"/>
      <c r="G52" s="140"/>
      <c r="H52" s="140"/>
      <c r="I52" s="141"/>
      <c r="J52"/>
      <c r="N52" s="30"/>
      <c r="O52" s="55">
        <f>IF(AND(B14="MZ_1",B15="никель"),O33,0)</f>
        <v>0</v>
      </c>
      <c r="P52" s="21"/>
      <c r="Q52" s="55"/>
      <c r="R52" s="55"/>
      <c r="S52" s="21"/>
      <c r="T52" s="22"/>
      <c r="U52" s="55"/>
      <c r="V52" s="22"/>
      <c r="W52" s="22"/>
      <c r="X52" s="22"/>
      <c r="Y52" s="22"/>
      <c r="Z52" s="24"/>
    </row>
    <row r="53" spans="1:26" hidden="1" x14ac:dyDescent="0.25">
      <c r="A53" s="21"/>
      <c r="B53" s="128">
        <f>[1]Z_фасады_СС!B53*1.4</f>
        <v>0</v>
      </c>
      <c r="C53" s="127"/>
      <c r="D53" s="134">
        <f>[1]Z_фасады_СС!D53*1.4</f>
        <v>0</v>
      </c>
      <c r="E53" s="134"/>
      <c r="G53" s="140"/>
      <c r="H53" s="140"/>
      <c r="I53" s="141"/>
      <c r="J53"/>
      <c r="N53" s="30"/>
      <c r="O53" s="55">
        <f>IF(AND(B14="MZ_1",B15="черный матовый"),O34,0)</f>
        <v>0</v>
      </c>
      <c r="P53" s="21"/>
      <c r="Q53" s="55"/>
      <c r="R53" s="55"/>
      <c r="S53" s="21"/>
      <c r="T53" s="22"/>
      <c r="U53" s="55"/>
      <c r="V53" s="55">
        <f>IF(AND(B14="MZ_13",B15="черный матовый"),V34,0)</f>
        <v>0</v>
      </c>
      <c r="W53" s="22"/>
      <c r="X53" s="22"/>
      <c r="Y53" s="22"/>
      <c r="Z53" s="24"/>
    </row>
    <row r="54" spans="1:26" hidden="1" x14ac:dyDescent="0.25">
      <c r="A54" s="21"/>
      <c r="B54" s="128">
        <f>[1]Z_фасады_СС!B54*1.4</f>
        <v>0</v>
      </c>
      <c r="C54" s="127"/>
      <c r="D54" s="134">
        <f>[1]Z_фасады_СС!D54*1.4</f>
        <v>0</v>
      </c>
      <c r="E54" s="134"/>
      <c r="G54" s="140"/>
      <c r="H54" s="140"/>
      <c r="I54" s="141"/>
      <c r="J54"/>
      <c r="N54" s="30" t="s">
        <v>21</v>
      </c>
      <c r="O54" s="55"/>
      <c r="P54" s="21"/>
      <c r="Q54" s="55"/>
      <c r="R54" s="55"/>
      <c r="S54" s="21"/>
      <c r="T54" s="22"/>
      <c r="U54" s="55"/>
      <c r="V54" s="55"/>
      <c r="W54" s="22"/>
      <c r="X54" s="22"/>
      <c r="Y54" s="22">
        <f>IF(AND(B14="MF_30",B15="черный матовый"),Y33,0)</f>
        <v>0</v>
      </c>
      <c r="Z54" s="24">
        <f>IF(AND(B14="MF_20",B15="черный матовый"),Z33,0)</f>
        <v>0</v>
      </c>
    </row>
    <row r="55" spans="1:26" hidden="1" x14ac:dyDescent="0.25">
      <c r="A55" s="21" t="s">
        <v>131</v>
      </c>
      <c r="B55" s="128">
        <f>[1]Z_фасады_СС!B55*1.4</f>
        <v>46.76</v>
      </c>
      <c r="C55" s="127" t="s">
        <v>132</v>
      </c>
      <c r="D55" s="134">
        <f>[1]Z_фасады_СС!D55*1.4</f>
        <v>35</v>
      </c>
      <c r="E55" s="134">
        <f>D55+B40</f>
        <v>47.46</v>
      </c>
      <c r="N55" s="30" t="s">
        <v>98</v>
      </c>
      <c r="O55" s="55"/>
      <c r="P55" s="55"/>
      <c r="Q55" s="55">
        <f>IF(AND(B14="MZ_4",B15="серебро глянец"),Q36,0)</f>
        <v>0</v>
      </c>
      <c r="R55" s="55"/>
      <c r="S55" s="55"/>
      <c r="T55" s="89"/>
      <c r="U55" s="89"/>
      <c r="V55" s="89"/>
      <c r="W55" s="22"/>
      <c r="X55" s="22"/>
      <c r="Y55" s="22"/>
      <c r="Z55" s="24"/>
    </row>
    <row r="56" spans="1:26" ht="15.75" hidden="1" thickBot="1" x14ac:dyDescent="0.3">
      <c r="A56" s="21"/>
      <c r="B56" s="128">
        <f>[1]Z_фасады_СС!B56*1.4</f>
        <v>0</v>
      </c>
      <c r="C56" s="127"/>
      <c r="D56" s="134">
        <f>[1]Z_фасады_СС!D56*1.4</f>
        <v>0</v>
      </c>
      <c r="E56" s="134"/>
      <c r="N56" s="66" t="s">
        <v>36</v>
      </c>
      <c r="O56" s="121">
        <f>IF(AND(B14="MZ_1",B15="белый матовый"),O37,0)</f>
        <v>0</v>
      </c>
      <c r="P56" s="121"/>
      <c r="Q56" s="121"/>
      <c r="R56" s="121">
        <f>IF(AND(B14="MZ_12",B15="белый матовый"),R37,0)</f>
        <v>0</v>
      </c>
      <c r="S56" s="121"/>
      <c r="T56" s="122"/>
      <c r="U56" s="122">
        <f>IF(AND(B14="MZ_17",B15="белый матовый"),U37,0)</f>
        <v>0</v>
      </c>
      <c r="V56" s="122">
        <f>IF(AND(B14="MZ_13",B15="белый матовый"),V37,0)</f>
        <v>0</v>
      </c>
      <c r="W56" s="69"/>
      <c r="X56" s="69"/>
      <c r="Y56" s="69"/>
      <c r="Z56" s="71"/>
    </row>
    <row r="57" spans="1:26" ht="15.75" hidden="1" thickBot="1" x14ac:dyDescent="0.3">
      <c r="A57" s="21" t="s">
        <v>133</v>
      </c>
      <c r="B57" s="128">
        <f>[1]Z_фасады_СС!B57*1.4</f>
        <v>62.999999999999993</v>
      </c>
      <c r="C57" s="127" t="s">
        <v>134</v>
      </c>
      <c r="D57" s="134">
        <f>[1]Z_фасады_СС!D57*1.4</f>
        <v>35</v>
      </c>
      <c r="E57" s="134">
        <f>D57+B46</f>
        <v>55.44</v>
      </c>
    </row>
    <row r="58" spans="1:26" ht="15.75" hidden="1" thickBot="1" x14ac:dyDescent="0.3">
      <c r="B58" s="128">
        <f>[1]Z_фасады_СС!B58*1.4</f>
        <v>0</v>
      </c>
      <c r="C58" s="127" t="s">
        <v>135</v>
      </c>
      <c r="D58" s="134">
        <f>[1]Z_фасады_СС!D58*1.4</f>
        <v>35</v>
      </c>
      <c r="E58" s="134">
        <f>D58+B48</f>
        <v>62.44</v>
      </c>
      <c r="N58" s="142" t="s">
        <v>136</v>
      </c>
      <c r="O58" s="143" t="s">
        <v>137</v>
      </c>
      <c r="P58" s="143" t="s">
        <v>138</v>
      </c>
      <c r="Q58" s="144" t="s">
        <v>139</v>
      </c>
      <c r="R58" s="145" t="s">
        <v>140</v>
      </c>
      <c r="S58" s="146" t="s">
        <v>57</v>
      </c>
      <c r="T58" s="143" t="s">
        <v>141</v>
      </c>
      <c r="U58" s="147" t="s">
        <v>142</v>
      </c>
    </row>
    <row r="59" spans="1:26" hidden="1" x14ac:dyDescent="0.25">
      <c r="A59" s="21" t="s">
        <v>143</v>
      </c>
      <c r="B59" s="128">
        <f>[1]Z_фасады_СС!B59*1.4</f>
        <v>16.099999999999998</v>
      </c>
      <c r="G59" s="148" t="s">
        <v>144</v>
      </c>
      <c r="H59" s="149"/>
      <c r="I59" s="148">
        <f>[1]Z_фасады_СС!I59*1.4</f>
        <v>18.2</v>
      </c>
      <c r="J59" s="148" t="s">
        <v>43</v>
      </c>
      <c r="N59" s="133" t="s">
        <v>62</v>
      </c>
      <c r="O59" s="21" t="s">
        <v>143</v>
      </c>
      <c r="P59" s="150" t="s">
        <v>145</v>
      </c>
      <c r="Q59" s="151" t="s">
        <v>139</v>
      </c>
      <c r="R59" s="133" t="s">
        <v>106</v>
      </c>
      <c r="S59" s="133" t="s">
        <v>62</v>
      </c>
      <c r="T59" s="133" t="s">
        <v>141</v>
      </c>
      <c r="U59" s="152" t="s">
        <v>142</v>
      </c>
    </row>
    <row r="60" spans="1:26" hidden="1" x14ac:dyDescent="0.25">
      <c r="A60" s="21" t="s">
        <v>146</v>
      </c>
      <c r="B60" s="128">
        <f>[1]Z_фасады_СС!B60*1.4</f>
        <v>26.04</v>
      </c>
      <c r="N60" s="127" t="s">
        <v>100</v>
      </c>
      <c r="O60" s="21" t="s">
        <v>146</v>
      </c>
      <c r="P60" s="150" t="s">
        <v>147</v>
      </c>
      <c r="Q60" s="21"/>
      <c r="R60" s="127" t="s">
        <v>109</v>
      </c>
      <c r="S60" s="127" t="s">
        <v>100</v>
      </c>
      <c r="T60" s="22"/>
      <c r="U60" s="153"/>
    </row>
    <row r="61" spans="1:26" hidden="1" x14ac:dyDescent="0.25">
      <c r="A61" s="127" t="s">
        <v>148</v>
      </c>
      <c r="B61" s="128">
        <f>[1]Z_фасады_СС!B61*1.4</f>
        <v>27.72</v>
      </c>
      <c r="G61" s="2" t="s">
        <v>94</v>
      </c>
      <c r="I61" s="154">
        <f>[1]Z_фасады_СС!I61*1.4</f>
        <v>14</v>
      </c>
      <c r="J61" s="148" t="s">
        <v>43</v>
      </c>
      <c r="N61" s="127" t="s">
        <v>102</v>
      </c>
      <c r="O61" s="127" t="s">
        <v>148</v>
      </c>
      <c r="P61" s="150" t="s">
        <v>149</v>
      </c>
      <c r="Q61" s="21"/>
      <c r="R61" s="127" t="s">
        <v>111</v>
      </c>
      <c r="S61" s="127" t="s">
        <v>102</v>
      </c>
      <c r="T61" s="22"/>
      <c r="U61" s="153"/>
    </row>
    <row r="62" spans="1:26" hidden="1" x14ac:dyDescent="0.25">
      <c r="A62" s="127" t="s">
        <v>150</v>
      </c>
      <c r="B62" s="128">
        <f>[1]Z_фасады_СС!B62*1.4</f>
        <v>39.619999999999997</v>
      </c>
      <c r="G62" s="124" t="s">
        <v>151</v>
      </c>
      <c r="H62" s="124"/>
      <c r="I62" s="154">
        <f>[1]Z_фасады_СС!I62*1.4</f>
        <v>9.7999999999999989</v>
      </c>
      <c r="J62" s="124" t="s">
        <v>90</v>
      </c>
      <c r="N62" s="127" t="s">
        <v>105</v>
      </c>
      <c r="O62" s="127" t="s">
        <v>150</v>
      </c>
      <c r="P62" s="150" t="s">
        <v>152</v>
      </c>
      <c r="Q62" s="21"/>
      <c r="R62" s="127" t="s">
        <v>114</v>
      </c>
      <c r="S62" s="127" t="s">
        <v>105</v>
      </c>
      <c r="T62" s="22"/>
      <c r="U62" s="153"/>
    </row>
    <row r="63" spans="1:26" hidden="1" x14ac:dyDescent="0.25">
      <c r="B63" s="128">
        <f>[1]Z_фасады_СС!B63*1.4</f>
        <v>0</v>
      </c>
      <c r="N63" s="127" t="s">
        <v>108</v>
      </c>
      <c r="O63" s="21" t="s">
        <v>50</v>
      </c>
      <c r="P63" s="150" t="s">
        <v>153</v>
      </c>
      <c r="Q63" s="21"/>
      <c r="R63" s="127" t="s">
        <v>117</v>
      </c>
      <c r="S63" s="22" t="s">
        <v>50</v>
      </c>
      <c r="T63" s="22"/>
      <c r="U63" s="153"/>
    </row>
    <row r="64" spans="1:26" hidden="1" x14ac:dyDescent="0.25">
      <c r="A64" s="150" t="s">
        <v>145</v>
      </c>
      <c r="B64" s="128">
        <f>[1]Z_фасады_СС!B64*1.4</f>
        <v>27.159999999999997</v>
      </c>
      <c r="C64" s="148" t="s">
        <v>154</v>
      </c>
      <c r="D64" s="134">
        <f>[1]Z_фасады_СС!D64*1.4</f>
        <v>30.94</v>
      </c>
      <c r="E64" s="134">
        <f>D64+B40</f>
        <v>43.4</v>
      </c>
      <c r="N64" s="127" t="s">
        <v>110</v>
      </c>
      <c r="O64" s="21" t="s">
        <v>50</v>
      </c>
      <c r="P64" s="150" t="s">
        <v>155</v>
      </c>
      <c r="Q64" s="21"/>
      <c r="R64" s="127" t="s">
        <v>120</v>
      </c>
      <c r="S64" s="22" t="s">
        <v>50</v>
      </c>
      <c r="T64" s="22"/>
      <c r="U64" s="153"/>
    </row>
    <row r="65" spans="1:21" hidden="1" x14ac:dyDescent="0.25">
      <c r="A65" s="150" t="s">
        <v>147</v>
      </c>
      <c r="B65" s="128">
        <f>[1]Z_фасады_СС!B65*1.4</f>
        <v>31.22</v>
      </c>
      <c r="C65" s="148" t="s">
        <v>156</v>
      </c>
      <c r="D65" s="134">
        <f>[1]Z_фасады_СС!D65*1.4</f>
        <v>36.959999999999994</v>
      </c>
      <c r="E65" s="134">
        <f>D65+B41</f>
        <v>55.999999999999993</v>
      </c>
      <c r="N65" s="127" t="s">
        <v>113</v>
      </c>
      <c r="O65" s="21" t="s">
        <v>50</v>
      </c>
      <c r="P65" s="150" t="s">
        <v>157</v>
      </c>
      <c r="Q65" s="21"/>
      <c r="R65" s="127" t="s">
        <v>123</v>
      </c>
      <c r="S65" s="22" t="s">
        <v>50</v>
      </c>
      <c r="T65" s="22"/>
      <c r="U65" s="153"/>
    </row>
    <row r="66" spans="1:21" hidden="1" x14ac:dyDescent="0.25">
      <c r="A66" s="150" t="s">
        <v>149</v>
      </c>
      <c r="B66" s="128">
        <f>[1]Z_фасады_СС!B66*1.4</f>
        <v>32.619999999999997</v>
      </c>
      <c r="C66" s="148" t="s">
        <v>158</v>
      </c>
      <c r="D66" s="134">
        <f>[1]Z_фасады_СС!D66*1.4</f>
        <v>39.199999999999996</v>
      </c>
      <c r="E66" s="134">
        <f>D66+B42</f>
        <v>65.8</v>
      </c>
      <c r="N66" s="127" t="s">
        <v>116</v>
      </c>
      <c r="O66" s="21" t="s">
        <v>50</v>
      </c>
      <c r="P66" s="155"/>
      <c r="Q66" s="21"/>
      <c r="R66" s="127" t="s">
        <v>126</v>
      </c>
      <c r="S66" s="22" t="s">
        <v>50</v>
      </c>
      <c r="T66" s="22"/>
      <c r="U66" s="153"/>
    </row>
    <row r="67" spans="1:21" hidden="1" x14ac:dyDescent="0.25">
      <c r="A67" s="150" t="s">
        <v>152</v>
      </c>
      <c r="B67" s="128">
        <f>[1]Z_фасады_СС!B67*1.4</f>
        <v>37.94</v>
      </c>
      <c r="C67" s="148" t="s">
        <v>159</v>
      </c>
      <c r="D67" s="134">
        <f>[1]Z_фасады_СС!D67*1.4</f>
        <v>36.119999999999997</v>
      </c>
      <c r="E67" s="134">
        <f>D67+B43</f>
        <v>74.199999999999989</v>
      </c>
      <c r="N67" s="21" t="s">
        <v>119</v>
      </c>
      <c r="O67" s="21" t="s">
        <v>50</v>
      </c>
      <c r="P67" s="127"/>
      <c r="Q67" s="21"/>
      <c r="R67" s="127" t="s">
        <v>129</v>
      </c>
      <c r="S67" s="22" t="s">
        <v>50</v>
      </c>
      <c r="T67" s="22"/>
      <c r="U67" s="153"/>
    </row>
    <row r="68" spans="1:21" hidden="1" x14ac:dyDescent="0.25">
      <c r="A68" s="150" t="s">
        <v>153</v>
      </c>
      <c r="B68" s="128">
        <f>[1]Z_фасады_СС!B68*1.4</f>
        <v>43.68</v>
      </c>
      <c r="N68" s="127" t="s">
        <v>122</v>
      </c>
      <c r="O68" s="21" t="s">
        <v>50</v>
      </c>
      <c r="P68" s="127"/>
      <c r="Q68" s="21"/>
      <c r="R68" s="127" t="s">
        <v>132</v>
      </c>
      <c r="S68" s="22" t="s">
        <v>50</v>
      </c>
      <c r="T68" s="22"/>
      <c r="U68" s="153"/>
    </row>
    <row r="69" spans="1:21" hidden="1" x14ac:dyDescent="0.25">
      <c r="A69" s="150" t="s">
        <v>155</v>
      </c>
      <c r="B69" s="128">
        <f>[1]Z_фасады_СС!B69*1.4</f>
        <v>48.58</v>
      </c>
      <c r="C69" s="2" t="s">
        <v>160</v>
      </c>
      <c r="D69" s="134">
        <f>[1]Z_фасады_СС!D69*1.4</f>
        <v>11.2</v>
      </c>
      <c r="N69" s="127" t="s">
        <v>125</v>
      </c>
      <c r="O69" s="21" t="s">
        <v>50</v>
      </c>
      <c r="P69" s="127"/>
      <c r="Q69" s="21"/>
      <c r="R69" s="127" t="s">
        <v>134</v>
      </c>
      <c r="S69" s="22"/>
      <c r="T69" s="22"/>
      <c r="U69" s="153"/>
    </row>
    <row r="70" spans="1:21" hidden="1" x14ac:dyDescent="0.25">
      <c r="A70" s="150" t="s">
        <v>157</v>
      </c>
      <c r="B70" s="128">
        <f>[1]Z_фасады_СС!B70*1.4</f>
        <v>61.319999999999993</v>
      </c>
      <c r="C70" s="2" t="s">
        <v>161</v>
      </c>
      <c r="D70" s="134">
        <f>[1]Z_фасады_СС!D70*1.4</f>
        <v>19.599999999999998</v>
      </c>
      <c r="N70" s="21" t="s">
        <v>128</v>
      </c>
      <c r="O70" s="21" t="s">
        <v>50</v>
      </c>
      <c r="P70" s="127"/>
      <c r="Q70" s="21"/>
      <c r="R70" s="127" t="s">
        <v>135</v>
      </c>
      <c r="S70" s="22"/>
      <c r="T70" s="22"/>
      <c r="U70" s="153"/>
    </row>
    <row r="71" spans="1:21" hidden="1" x14ac:dyDescent="0.25">
      <c r="A71" s="150" t="s">
        <v>162</v>
      </c>
      <c r="B71" s="128">
        <f>[1]Z_фасады_СС!B71*1.4</f>
        <v>0</v>
      </c>
      <c r="C71" s="2" t="s">
        <v>163</v>
      </c>
      <c r="D71" s="134">
        <f>[1]Z_фасады_СС!D71*1.4</f>
        <v>19.599999999999998</v>
      </c>
      <c r="N71" s="21" t="s">
        <v>131</v>
      </c>
      <c r="O71" s="21"/>
      <c r="P71" s="21"/>
      <c r="Q71" s="21"/>
      <c r="R71" s="21"/>
      <c r="S71" s="21"/>
      <c r="T71" s="22"/>
      <c r="U71" s="22"/>
    </row>
    <row r="72" spans="1:21" hidden="1" x14ac:dyDescent="0.25">
      <c r="A72" s="148"/>
      <c r="C72" s="2" t="s">
        <v>164</v>
      </c>
      <c r="D72" s="134">
        <f>[1]Z_фасады_СС!D72*1.4</f>
        <v>44.8</v>
      </c>
      <c r="N72" s="21" t="s">
        <v>133</v>
      </c>
      <c r="O72" s="21"/>
      <c r="P72" s="21"/>
      <c r="Q72" s="21"/>
      <c r="R72" s="21"/>
      <c r="S72" s="21"/>
      <c r="T72" s="22"/>
      <c r="U72" s="22"/>
    </row>
    <row r="73" spans="1:21" hidden="1" x14ac:dyDescent="0.25">
      <c r="A73" s="148"/>
    </row>
    <row r="74" spans="1:21" hidden="1" x14ac:dyDescent="0.25">
      <c r="A74" s="148"/>
      <c r="C74" s="2" t="s">
        <v>139</v>
      </c>
      <c r="D74" s="134">
        <f>[1]Z_фасады_СС!D74*1.4</f>
        <v>25.059999999999995</v>
      </c>
    </row>
    <row r="75" spans="1:21" hidden="1" x14ac:dyDescent="0.25">
      <c r="A75" s="148"/>
    </row>
    <row r="76" spans="1:21" hidden="1" x14ac:dyDescent="0.25">
      <c r="A76" s="148"/>
      <c r="C76" s="2" t="s">
        <v>141</v>
      </c>
      <c r="D76" s="110">
        <f>[1]Z_фасады_СС!D76*1.4</f>
        <v>70</v>
      </c>
    </row>
    <row r="77" spans="1:21" hidden="1" x14ac:dyDescent="0.25">
      <c r="A77" s="148"/>
      <c r="D77" s="110"/>
    </row>
    <row r="78" spans="1:21" hidden="1" x14ac:dyDescent="0.25">
      <c r="A78" s="148"/>
      <c r="C78" s="2" t="s">
        <v>142</v>
      </c>
      <c r="D78" s="110">
        <f>[1]Z_фасады_СС!D78*1.4</f>
        <v>77</v>
      </c>
    </row>
    <row r="79" spans="1:21" ht="15.75" hidden="1" thickBot="1" x14ac:dyDescent="0.3">
      <c r="A79" s="148"/>
    </row>
    <row r="80" spans="1:21" hidden="1" x14ac:dyDescent="0.25">
      <c r="A80" s="148"/>
      <c r="M80" s="156"/>
      <c r="N80" s="156" t="s">
        <v>136</v>
      </c>
      <c r="O80" s="12" t="s">
        <v>137</v>
      </c>
      <c r="P80" s="12" t="s">
        <v>138</v>
      </c>
      <c r="Q80" s="12" t="s">
        <v>139</v>
      </c>
      <c r="R80" s="12" t="s">
        <v>140</v>
      </c>
      <c r="S80" s="12" t="s">
        <v>57</v>
      </c>
      <c r="T80" s="12" t="s">
        <v>141</v>
      </c>
      <c r="U80" s="157" t="s">
        <v>142</v>
      </c>
    </row>
    <row r="81" spans="1:26" ht="18.75" hidden="1" x14ac:dyDescent="0.3">
      <c r="A81" s="158"/>
      <c r="B81" s="159"/>
      <c r="C81" s="160"/>
      <c r="D81" s="160"/>
      <c r="E81" s="160"/>
      <c r="F81" s="160"/>
      <c r="G81" s="160"/>
      <c r="H81" s="160"/>
      <c r="I81" s="160"/>
      <c r="J81" s="160"/>
      <c r="M81" s="133" t="s">
        <v>62</v>
      </c>
      <c r="N81" s="21">
        <f>B40</f>
        <v>12.459999999999999</v>
      </c>
      <c r="O81" s="21"/>
      <c r="P81" s="21"/>
      <c r="Q81" s="21"/>
      <c r="R81" s="21"/>
      <c r="S81" s="21"/>
      <c r="T81" s="21"/>
      <c r="U81" s="21"/>
    </row>
    <row r="82" spans="1:26" ht="18.75" x14ac:dyDescent="0.3">
      <c r="A82" s="161" t="s">
        <v>165</v>
      </c>
      <c r="B82" s="162" t="s">
        <v>166</v>
      </c>
      <c r="C82" s="162" t="s">
        <v>167</v>
      </c>
      <c r="D82" s="160"/>
      <c r="E82" s="259" t="s">
        <v>168</v>
      </c>
      <c r="F82" s="259"/>
      <c r="G82" s="259"/>
      <c r="H82" s="259"/>
      <c r="I82" s="163" t="s">
        <v>169</v>
      </c>
      <c r="J82" s="164" t="s">
        <v>170</v>
      </c>
      <c r="K82" s="163" t="s">
        <v>169</v>
      </c>
      <c r="L82" s="21"/>
      <c r="M82" s="127" t="s">
        <v>100</v>
      </c>
      <c r="N82" s="21">
        <f>B41</f>
        <v>19.04</v>
      </c>
      <c r="O82" s="21"/>
      <c r="P82" s="21"/>
      <c r="Q82" s="21"/>
      <c r="R82" s="21"/>
      <c r="S82" s="21"/>
      <c r="T82" s="21"/>
      <c r="U82" s="21"/>
    </row>
    <row r="83" spans="1:26" ht="18.75" x14ac:dyDescent="0.3">
      <c r="A83" s="289" t="s">
        <v>171</v>
      </c>
      <c r="B83" s="165" t="s">
        <v>172</v>
      </c>
      <c r="C83" s="166">
        <v>8</v>
      </c>
      <c r="D83" s="160"/>
      <c r="E83" s="259" t="s">
        <v>173</v>
      </c>
      <c r="F83" s="259"/>
      <c r="G83" s="259"/>
      <c r="H83" s="259"/>
      <c r="I83" s="167"/>
      <c r="J83" s="168" t="s">
        <v>106</v>
      </c>
      <c r="K83" s="169">
        <v>25.2</v>
      </c>
      <c r="L83" s="21"/>
      <c r="M83" s="127" t="s">
        <v>102</v>
      </c>
      <c r="N83" s="21">
        <f>B42</f>
        <v>26.599999999999998</v>
      </c>
      <c r="O83" s="21"/>
      <c r="P83" s="21"/>
      <c r="Q83" s="21"/>
      <c r="R83" s="21"/>
      <c r="S83" s="21"/>
      <c r="T83" s="21"/>
      <c r="U83" s="21"/>
    </row>
    <row r="84" spans="1:26" ht="18.75" x14ac:dyDescent="0.3">
      <c r="A84" s="290"/>
      <c r="B84" s="170" t="s">
        <v>174</v>
      </c>
      <c r="C84" s="171">
        <v>8.5</v>
      </c>
      <c r="D84" s="160"/>
      <c r="E84" s="262" t="s">
        <v>62</v>
      </c>
      <c r="F84" s="263"/>
      <c r="G84" s="263"/>
      <c r="H84" s="264"/>
      <c r="I84" s="169">
        <v>12.459999999999999</v>
      </c>
      <c r="J84" s="168" t="s">
        <v>109</v>
      </c>
      <c r="K84" s="169">
        <v>25.2</v>
      </c>
      <c r="L84" s="21"/>
      <c r="M84" s="127" t="s">
        <v>105</v>
      </c>
      <c r="N84" s="21">
        <f>B43</f>
        <v>38.08</v>
      </c>
      <c r="O84" s="21"/>
      <c r="P84" s="21"/>
      <c r="Q84" s="21"/>
      <c r="R84" s="21"/>
      <c r="S84" s="21"/>
      <c r="T84" s="21"/>
      <c r="U84" s="21"/>
    </row>
    <row r="85" spans="1:26" ht="18.75" x14ac:dyDescent="0.3">
      <c r="A85" s="290"/>
      <c r="B85" s="172" t="s">
        <v>175</v>
      </c>
      <c r="C85" s="171">
        <v>9</v>
      </c>
      <c r="D85" s="160"/>
      <c r="E85" s="262" t="s">
        <v>100</v>
      </c>
      <c r="F85" s="263"/>
      <c r="G85" s="263"/>
      <c r="H85" s="264"/>
      <c r="I85" s="169">
        <v>19.04</v>
      </c>
      <c r="J85" s="168" t="s">
        <v>111</v>
      </c>
      <c r="K85" s="169">
        <v>42</v>
      </c>
      <c r="L85" s="21"/>
      <c r="M85" s="127" t="s">
        <v>113</v>
      </c>
      <c r="N85" s="21">
        <f t="shared" ref="N85:N90" si="1">B46</f>
        <v>20.439999999999998</v>
      </c>
      <c r="O85" s="21"/>
      <c r="P85" s="21"/>
      <c r="Q85" s="21"/>
      <c r="R85" s="21"/>
      <c r="S85" s="21"/>
      <c r="T85" s="21"/>
      <c r="U85" s="21"/>
    </row>
    <row r="86" spans="1:26" ht="18.75" x14ac:dyDescent="0.3">
      <c r="A86" s="291"/>
      <c r="B86" s="172" t="s">
        <v>176</v>
      </c>
      <c r="C86" s="171">
        <v>9.5</v>
      </c>
      <c r="D86" s="160"/>
      <c r="E86" s="262" t="s">
        <v>102</v>
      </c>
      <c r="F86" s="263"/>
      <c r="G86" s="263"/>
      <c r="H86" s="264"/>
      <c r="I86" s="169">
        <v>26.599999999999998</v>
      </c>
      <c r="J86" s="168" t="s">
        <v>114</v>
      </c>
      <c r="K86" s="169">
        <v>42</v>
      </c>
      <c r="L86" s="21"/>
      <c r="M86" s="127" t="s">
        <v>116</v>
      </c>
      <c r="N86" s="21">
        <f t="shared" si="1"/>
        <v>28.14</v>
      </c>
      <c r="O86" s="21"/>
      <c r="P86" s="21"/>
      <c r="Q86" s="21"/>
      <c r="R86" s="21"/>
      <c r="S86" s="21"/>
      <c r="T86" s="21"/>
      <c r="U86" s="21"/>
      <c r="Y86" s="2"/>
    </row>
    <row r="87" spans="1:26" ht="15" customHeight="1" x14ac:dyDescent="0.3">
      <c r="A87" s="173" t="s">
        <v>177</v>
      </c>
      <c r="B87" s="174" t="s">
        <v>19</v>
      </c>
      <c r="C87" s="175">
        <v>11</v>
      </c>
      <c r="D87" s="160"/>
      <c r="E87" s="262" t="s">
        <v>105</v>
      </c>
      <c r="F87" s="263"/>
      <c r="G87" s="263"/>
      <c r="H87" s="264"/>
      <c r="I87" s="169">
        <v>38.08</v>
      </c>
      <c r="J87" s="168" t="s">
        <v>117</v>
      </c>
      <c r="K87" s="169">
        <v>49</v>
      </c>
      <c r="L87" s="21"/>
      <c r="M87" s="21" t="s">
        <v>119</v>
      </c>
      <c r="N87" s="21">
        <f t="shared" si="1"/>
        <v>27.44</v>
      </c>
      <c r="O87" s="21"/>
      <c r="P87" s="21"/>
      <c r="Q87" s="21"/>
      <c r="R87" s="21"/>
      <c r="S87" s="21"/>
      <c r="T87" s="21"/>
      <c r="U87" s="21"/>
      <c r="Y87" s="2"/>
      <c r="Z87" s="2"/>
    </row>
    <row r="88" spans="1:26" ht="18.75" x14ac:dyDescent="0.3">
      <c r="A88" s="280" t="s">
        <v>178</v>
      </c>
      <c r="B88" s="165" t="s">
        <v>51</v>
      </c>
      <c r="C88" s="166">
        <v>9.5</v>
      </c>
      <c r="D88" s="160"/>
      <c r="E88" s="262" t="s">
        <v>108</v>
      </c>
      <c r="F88" s="263"/>
      <c r="G88" s="263"/>
      <c r="H88" s="264"/>
      <c r="I88" s="169">
        <v>34.159999999999997</v>
      </c>
      <c r="J88" s="168" t="s">
        <v>120</v>
      </c>
      <c r="K88" s="169">
        <v>49</v>
      </c>
      <c r="L88" s="21"/>
      <c r="M88" s="127" t="s">
        <v>122</v>
      </c>
      <c r="N88" s="21">
        <f t="shared" si="1"/>
        <v>18.34</v>
      </c>
      <c r="O88" s="21"/>
      <c r="P88" s="21"/>
      <c r="Q88" s="21"/>
      <c r="R88" s="21"/>
      <c r="S88" s="21"/>
      <c r="T88" s="21"/>
      <c r="U88" s="21"/>
      <c r="Y88" s="2"/>
      <c r="Z88" s="2"/>
    </row>
    <row r="89" spans="1:26" ht="37.5" x14ac:dyDescent="0.3">
      <c r="A89" s="281"/>
      <c r="B89" s="170" t="s">
        <v>172</v>
      </c>
      <c r="C89" s="171">
        <v>10.5</v>
      </c>
      <c r="D89" s="160"/>
      <c r="E89" s="262" t="s">
        <v>110</v>
      </c>
      <c r="F89" s="263"/>
      <c r="G89" s="263"/>
      <c r="H89" s="264"/>
      <c r="I89" s="169">
        <v>34.159999999999997</v>
      </c>
      <c r="J89" s="176" t="s">
        <v>123</v>
      </c>
      <c r="K89" s="169">
        <v>35</v>
      </c>
      <c r="L89" s="21"/>
      <c r="M89" s="127" t="s">
        <v>125</v>
      </c>
      <c r="N89" s="21">
        <f t="shared" si="1"/>
        <v>29.119999999999997</v>
      </c>
      <c r="O89" s="21"/>
      <c r="P89" s="21"/>
      <c r="Q89" s="21"/>
      <c r="R89" s="21"/>
      <c r="S89" s="21"/>
      <c r="T89" s="21"/>
      <c r="U89" s="21"/>
      <c r="Y89" s="2"/>
      <c r="Z89" s="2"/>
    </row>
    <row r="90" spans="1:26" ht="37.5" x14ac:dyDescent="0.3">
      <c r="A90" s="281"/>
      <c r="B90" s="172" t="s">
        <v>179</v>
      </c>
      <c r="C90" s="171">
        <v>11</v>
      </c>
      <c r="D90" s="160"/>
      <c r="E90" s="262" t="s">
        <v>113</v>
      </c>
      <c r="F90" s="263"/>
      <c r="G90" s="263"/>
      <c r="H90" s="264"/>
      <c r="I90" s="169">
        <v>20.439999999999998</v>
      </c>
      <c r="J90" s="176" t="s">
        <v>126</v>
      </c>
      <c r="K90" s="169">
        <v>35</v>
      </c>
      <c r="L90" s="21"/>
      <c r="M90" s="21" t="s">
        <v>128</v>
      </c>
      <c r="N90" s="21">
        <f t="shared" si="1"/>
        <v>34.159999999999997</v>
      </c>
      <c r="O90" s="21"/>
      <c r="P90" s="21"/>
      <c r="Q90" s="21"/>
      <c r="R90" s="21"/>
      <c r="S90" s="21"/>
      <c r="T90" s="21"/>
      <c r="U90" s="21"/>
      <c r="Y90" s="2"/>
      <c r="Z90" s="2"/>
    </row>
    <row r="91" spans="1:26" ht="15" customHeight="1" x14ac:dyDescent="0.3">
      <c r="A91" s="281"/>
      <c r="B91" s="172" t="s">
        <v>180</v>
      </c>
      <c r="C91" s="171">
        <v>12</v>
      </c>
      <c r="D91" s="160"/>
      <c r="E91" s="262" t="s">
        <v>116</v>
      </c>
      <c r="F91" s="263"/>
      <c r="G91" s="263"/>
      <c r="H91" s="264"/>
      <c r="I91" s="169">
        <v>28.14</v>
      </c>
      <c r="J91" s="177" t="s">
        <v>181</v>
      </c>
      <c r="K91" s="169">
        <v>35</v>
      </c>
      <c r="L91" s="21"/>
      <c r="M91" s="21" t="s">
        <v>131</v>
      </c>
      <c r="N91" s="21">
        <f>B55</f>
        <v>46.76</v>
      </c>
      <c r="O91" s="21"/>
      <c r="P91" s="21"/>
      <c r="Q91" s="21"/>
      <c r="R91" s="21"/>
      <c r="S91" s="21"/>
      <c r="T91" s="21"/>
      <c r="U91" s="21"/>
      <c r="Y91" s="2"/>
      <c r="Z91" s="2"/>
    </row>
    <row r="92" spans="1:26" ht="42.75" customHeight="1" x14ac:dyDescent="0.3">
      <c r="A92" s="281"/>
      <c r="B92" s="178" t="s">
        <v>44</v>
      </c>
      <c r="C92" s="171">
        <v>12.5</v>
      </c>
      <c r="D92" s="160"/>
      <c r="E92" s="265" t="s">
        <v>119</v>
      </c>
      <c r="F92" s="266"/>
      <c r="G92" s="266"/>
      <c r="H92" s="267"/>
      <c r="I92" s="169">
        <v>27.44</v>
      </c>
      <c r="J92" s="177" t="s">
        <v>132</v>
      </c>
      <c r="K92" s="169">
        <v>35</v>
      </c>
      <c r="L92" s="21"/>
      <c r="M92" s="21" t="s">
        <v>133</v>
      </c>
      <c r="N92" s="179">
        <f>B57</f>
        <v>62.999999999999993</v>
      </c>
      <c r="O92" s="179"/>
      <c r="P92" s="179"/>
      <c r="Q92" s="179"/>
      <c r="R92" s="179"/>
      <c r="S92" s="179"/>
      <c r="T92" s="179"/>
      <c r="U92" s="179"/>
      <c r="Y92" s="2"/>
      <c r="Z92" s="2"/>
    </row>
    <row r="93" spans="1:26" ht="38.25" customHeight="1" x14ac:dyDescent="0.3">
      <c r="A93" s="282"/>
      <c r="B93" s="180" t="s">
        <v>182</v>
      </c>
      <c r="C93" s="181">
        <v>13.5</v>
      </c>
      <c r="D93" s="160"/>
      <c r="E93" s="262" t="s">
        <v>122</v>
      </c>
      <c r="F93" s="263"/>
      <c r="G93" s="263"/>
      <c r="H93" s="264"/>
      <c r="I93" s="169">
        <v>18.34</v>
      </c>
      <c r="J93" s="177" t="s">
        <v>134</v>
      </c>
      <c r="K93" s="169">
        <v>35</v>
      </c>
      <c r="L93" s="21"/>
      <c r="M93" s="179" t="s">
        <v>143</v>
      </c>
      <c r="N93" s="21"/>
      <c r="O93" s="21">
        <f>B59</f>
        <v>16.099999999999998</v>
      </c>
      <c r="P93" s="21"/>
      <c r="Q93" s="21"/>
      <c r="R93" s="21"/>
      <c r="S93" s="21"/>
      <c r="T93" s="21"/>
      <c r="U93" s="21"/>
      <c r="Y93" s="2"/>
      <c r="Z93" s="2"/>
    </row>
    <row r="94" spans="1:26" ht="37.5" x14ac:dyDescent="0.3">
      <c r="A94" s="260" t="s">
        <v>183</v>
      </c>
      <c r="B94" s="182" t="s">
        <v>19</v>
      </c>
      <c r="C94" s="183">
        <v>10</v>
      </c>
      <c r="D94" s="160"/>
      <c r="E94" s="262" t="s">
        <v>125</v>
      </c>
      <c r="F94" s="263"/>
      <c r="G94" s="263"/>
      <c r="H94" s="264"/>
      <c r="I94" s="169">
        <v>29.119999999999997</v>
      </c>
      <c r="J94" s="177" t="s">
        <v>135</v>
      </c>
      <c r="K94" s="169">
        <v>35</v>
      </c>
      <c r="L94" s="21"/>
      <c r="M94" s="21" t="s">
        <v>146</v>
      </c>
      <c r="N94" s="21"/>
      <c r="O94" s="21">
        <f>B60</f>
        <v>26.04</v>
      </c>
      <c r="P94" s="21"/>
      <c r="Q94" s="21"/>
      <c r="R94" s="21"/>
      <c r="S94" s="21"/>
      <c r="T94" s="21"/>
      <c r="U94" s="21"/>
      <c r="Y94" s="2"/>
      <c r="Z94" s="2"/>
    </row>
    <row r="95" spans="1:26" ht="18.75" x14ac:dyDescent="0.3">
      <c r="A95" s="261"/>
      <c r="B95" s="184" t="s">
        <v>24</v>
      </c>
      <c r="C95" s="185">
        <v>12</v>
      </c>
      <c r="D95" s="160"/>
      <c r="E95" s="265" t="s">
        <v>128</v>
      </c>
      <c r="F95" s="266"/>
      <c r="G95" s="266"/>
      <c r="H95" s="267"/>
      <c r="I95" s="169">
        <v>34.159999999999997</v>
      </c>
      <c r="J95" s="168" t="s">
        <v>154</v>
      </c>
      <c r="K95" s="169">
        <v>30.94</v>
      </c>
      <c r="L95" s="21"/>
      <c r="M95" s="127" t="s">
        <v>148</v>
      </c>
      <c r="N95" s="21"/>
      <c r="O95" s="21">
        <f>B61</f>
        <v>27.72</v>
      </c>
      <c r="P95" s="21"/>
      <c r="Q95" s="21"/>
      <c r="R95" s="21"/>
      <c r="S95" s="21"/>
      <c r="T95" s="21"/>
      <c r="U95" s="21"/>
      <c r="Y95" s="2"/>
      <c r="Z95" s="2"/>
    </row>
    <row r="96" spans="1:26" ht="18.75" x14ac:dyDescent="0.3">
      <c r="A96" s="268" t="s">
        <v>184</v>
      </c>
      <c r="B96" s="165" t="s">
        <v>185</v>
      </c>
      <c r="C96" s="186">
        <v>10</v>
      </c>
      <c r="D96" s="160"/>
      <c r="E96" s="271" t="s">
        <v>131</v>
      </c>
      <c r="F96" s="272"/>
      <c r="G96" s="272"/>
      <c r="H96" s="273"/>
      <c r="I96" s="169">
        <v>46.76</v>
      </c>
      <c r="J96" s="177" t="s">
        <v>156</v>
      </c>
      <c r="K96" s="169">
        <v>36.959999999999994</v>
      </c>
      <c r="L96" s="21"/>
      <c r="M96" s="127" t="s">
        <v>150</v>
      </c>
      <c r="N96" s="21"/>
      <c r="O96" s="21">
        <f>B62</f>
        <v>39.619999999999997</v>
      </c>
      <c r="P96" s="21"/>
      <c r="Q96" s="21"/>
      <c r="R96" s="21"/>
      <c r="S96" s="21"/>
      <c r="T96" s="21"/>
      <c r="U96" s="21"/>
      <c r="Z96" s="2"/>
    </row>
    <row r="97" spans="1:23" ht="18.75" x14ac:dyDescent="0.3">
      <c r="A97" s="269"/>
      <c r="B97" s="170" t="s">
        <v>180</v>
      </c>
      <c r="C97" s="187">
        <v>11</v>
      </c>
      <c r="D97" s="160"/>
      <c r="E97" s="265" t="s">
        <v>133</v>
      </c>
      <c r="F97" s="266"/>
      <c r="G97" s="266"/>
      <c r="H97" s="267"/>
      <c r="I97" s="169">
        <v>62.999999999999993</v>
      </c>
      <c r="J97" s="177" t="s">
        <v>158</v>
      </c>
      <c r="K97" s="169">
        <v>39.199999999999996</v>
      </c>
      <c r="L97" s="21"/>
      <c r="M97" s="150" t="s">
        <v>145</v>
      </c>
      <c r="N97" s="21"/>
      <c r="O97" s="21"/>
      <c r="P97" s="21">
        <f t="shared" ref="P97:P104" si="2">B64</f>
        <v>27.159999999999997</v>
      </c>
      <c r="Q97" s="21"/>
      <c r="R97" s="21"/>
      <c r="S97" s="21"/>
      <c r="T97" s="21"/>
      <c r="U97" s="21"/>
      <c r="W97" s="98"/>
    </row>
    <row r="98" spans="1:23" ht="15" customHeight="1" x14ac:dyDescent="0.3">
      <c r="A98" s="269"/>
      <c r="B98" s="170" t="s">
        <v>186</v>
      </c>
      <c r="C98" s="187">
        <v>9.5</v>
      </c>
      <c r="D98" s="160"/>
      <c r="E98" s="274"/>
      <c r="F98" s="275"/>
      <c r="G98" s="275"/>
      <c r="H98" s="276"/>
      <c r="I98" s="188"/>
      <c r="J98" s="168" t="s">
        <v>159</v>
      </c>
      <c r="K98" s="169">
        <v>36.119999999999997</v>
      </c>
      <c r="L98" s="21"/>
      <c r="M98" s="150" t="s">
        <v>147</v>
      </c>
      <c r="N98" s="21"/>
      <c r="O98" s="21"/>
      <c r="P98" s="21">
        <f t="shared" si="2"/>
        <v>31.22</v>
      </c>
      <c r="Q98" s="21"/>
      <c r="R98" s="21"/>
      <c r="S98" s="21"/>
      <c r="T98" s="21"/>
      <c r="U98" s="21"/>
      <c r="W98" s="98"/>
    </row>
    <row r="99" spans="1:23" ht="18.75" x14ac:dyDescent="0.3">
      <c r="A99" s="269"/>
      <c r="B99" s="178" t="s">
        <v>175</v>
      </c>
      <c r="C99" s="187">
        <v>11.5</v>
      </c>
      <c r="D99" s="160"/>
      <c r="E99" s="277"/>
      <c r="F99" s="278"/>
      <c r="G99" s="278"/>
      <c r="H99" s="279"/>
      <c r="I99" s="169"/>
      <c r="J99" s="168" t="s">
        <v>160</v>
      </c>
      <c r="K99" s="169">
        <v>11.2</v>
      </c>
      <c r="L99" s="21"/>
      <c r="M99" s="150" t="s">
        <v>149</v>
      </c>
      <c r="N99" s="21"/>
      <c r="O99" s="21"/>
      <c r="P99" s="21">
        <f t="shared" si="2"/>
        <v>32.619999999999997</v>
      </c>
      <c r="Q99" s="21"/>
      <c r="R99" s="21"/>
      <c r="S99" s="21"/>
      <c r="T99" s="21"/>
      <c r="U99" s="21"/>
      <c r="W99" s="98"/>
    </row>
    <row r="100" spans="1:23" ht="18.75" x14ac:dyDescent="0.3">
      <c r="A100" s="270"/>
      <c r="B100" s="180" t="s">
        <v>25</v>
      </c>
      <c r="C100" s="189">
        <v>12</v>
      </c>
      <c r="D100" s="160"/>
      <c r="E100" s="254" t="s">
        <v>187</v>
      </c>
      <c r="F100" s="255"/>
      <c r="G100" s="255"/>
      <c r="H100" s="256"/>
      <c r="I100" s="163" t="s">
        <v>169</v>
      </c>
      <c r="J100" s="168" t="s">
        <v>161</v>
      </c>
      <c r="K100" s="169">
        <v>19.599999999999998</v>
      </c>
      <c r="L100" s="21"/>
      <c r="M100" s="150" t="s">
        <v>152</v>
      </c>
      <c r="N100" s="21"/>
      <c r="O100" s="21"/>
      <c r="P100" s="21">
        <f t="shared" si="2"/>
        <v>37.94</v>
      </c>
      <c r="Q100" s="21"/>
      <c r="R100" s="21"/>
      <c r="S100" s="21"/>
      <c r="T100" s="21"/>
      <c r="U100" s="21"/>
      <c r="W100" s="98"/>
    </row>
    <row r="101" spans="1:23" ht="18.75" x14ac:dyDescent="0.3">
      <c r="A101" s="190" t="s">
        <v>188</v>
      </c>
      <c r="B101" s="191" t="s">
        <v>189</v>
      </c>
      <c r="C101" s="175">
        <v>12</v>
      </c>
      <c r="D101" s="160"/>
      <c r="E101" s="192" t="s">
        <v>143</v>
      </c>
      <c r="F101" s="193"/>
      <c r="G101" s="193"/>
      <c r="H101" s="193"/>
      <c r="I101" s="169">
        <v>16.099999999999998</v>
      </c>
      <c r="J101" s="168" t="s">
        <v>163</v>
      </c>
      <c r="K101" s="169">
        <v>19.599999999999998</v>
      </c>
      <c r="L101" s="21"/>
      <c r="M101" s="150" t="s">
        <v>153</v>
      </c>
      <c r="N101" s="21"/>
      <c r="O101" s="21"/>
      <c r="P101" s="21">
        <f t="shared" si="2"/>
        <v>43.68</v>
      </c>
      <c r="Q101" s="21"/>
      <c r="R101" s="21"/>
      <c r="S101" s="21"/>
      <c r="T101" s="21"/>
      <c r="U101" s="21"/>
      <c r="W101" s="98"/>
    </row>
    <row r="102" spans="1:23" ht="18.75" x14ac:dyDescent="0.3">
      <c r="A102" s="194" t="s">
        <v>190</v>
      </c>
      <c r="B102" s="195" t="s">
        <v>19</v>
      </c>
      <c r="C102" s="187">
        <v>8</v>
      </c>
      <c r="D102" s="160"/>
      <c r="E102" s="196" t="s">
        <v>146</v>
      </c>
      <c r="F102" s="197"/>
      <c r="G102" s="197"/>
      <c r="H102" s="197"/>
      <c r="I102" s="169">
        <v>26.04</v>
      </c>
      <c r="J102" s="198" t="s">
        <v>164</v>
      </c>
      <c r="K102" s="169">
        <v>44.8</v>
      </c>
      <c r="L102" s="21"/>
      <c r="M102" s="150" t="s">
        <v>155</v>
      </c>
      <c r="N102" s="21"/>
      <c r="O102" s="21"/>
      <c r="P102" s="21">
        <f>B69</f>
        <v>48.58</v>
      </c>
      <c r="Q102" s="21"/>
      <c r="R102" s="21"/>
      <c r="S102" s="21"/>
      <c r="T102" s="21"/>
      <c r="U102" s="21"/>
    </row>
    <row r="103" spans="1:23" ht="18.75" x14ac:dyDescent="0.3">
      <c r="A103" s="257" t="s">
        <v>191</v>
      </c>
      <c r="B103" s="199" t="s">
        <v>192</v>
      </c>
      <c r="C103" s="200">
        <v>12</v>
      </c>
      <c r="D103" s="160"/>
      <c r="E103" s="192" t="s">
        <v>148</v>
      </c>
      <c r="F103" s="193"/>
      <c r="G103" s="193"/>
      <c r="H103" s="193"/>
      <c r="I103" s="169">
        <v>27.72</v>
      </c>
      <c r="J103" s="198" t="s">
        <v>118</v>
      </c>
      <c r="K103" s="169">
        <v>3.2199999999999998</v>
      </c>
      <c r="L103" s="21"/>
      <c r="M103" s="150" t="s">
        <v>157</v>
      </c>
      <c r="N103" s="21"/>
      <c r="O103" s="21"/>
      <c r="P103" s="21">
        <f t="shared" si="2"/>
        <v>61.319999999999993</v>
      </c>
      <c r="Q103" s="21"/>
      <c r="R103" s="21"/>
      <c r="S103" s="21"/>
      <c r="T103" s="21"/>
      <c r="U103" s="21"/>
    </row>
    <row r="104" spans="1:23" ht="18.75" x14ac:dyDescent="0.3">
      <c r="A104" s="258"/>
      <c r="B104" s="201" t="s">
        <v>25</v>
      </c>
      <c r="C104" s="185">
        <v>13</v>
      </c>
      <c r="D104" s="160"/>
      <c r="E104" s="196" t="s">
        <v>150</v>
      </c>
      <c r="F104" s="197"/>
      <c r="G104" s="197"/>
      <c r="H104" s="197"/>
      <c r="I104" s="169">
        <v>39.619999999999997</v>
      </c>
      <c r="J104" s="198" t="s">
        <v>121</v>
      </c>
      <c r="K104" s="169">
        <v>4.1999999999999993</v>
      </c>
      <c r="M104" s="155" t="s">
        <v>162</v>
      </c>
      <c r="N104" s="202"/>
      <c r="O104" s="202"/>
      <c r="P104" s="202">
        <f t="shared" si="2"/>
        <v>0</v>
      </c>
      <c r="Q104" s="21"/>
      <c r="R104" s="21"/>
      <c r="S104" s="21"/>
      <c r="T104" s="21"/>
      <c r="U104" s="21"/>
    </row>
    <row r="105" spans="1:23" ht="18.75" x14ac:dyDescent="0.3">
      <c r="A105" s="203" t="s">
        <v>193</v>
      </c>
      <c r="B105" s="204" t="s">
        <v>20</v>
      </c>
      <c r="C105" s="205">
        <v>20</v>
      </c>
      <c r="D105" s="160"/>
      <c r="E105" s="254" t="s">
        <v>194</v>
      </c>
      <c r="F105" s="255"/>
      <c r="G105" s="255"/>
      <c r="H105" s="256"/>
      <c r="I105" s="163" t="s">
        <v>169</v>
      </c>
      <c r="J105" s="198" t="s">
        <v>124</v>
      </c>
      <c r="K105" s="169">
        <v>4.8999999999999995</v>
      </c>
      <c r="M105" s="21" t="s">
        <v>139</v>
      </c>
      <c r="N105" s="21"/>
      <c r="O105" s="21"/>
      <c r="P105" s="21"/>
      <c r="Q105" s="21">
        <f>D74</f>
        <v>25.059999999999995</v>
      </c>
      <c r="R105" s="21"/>
      <c r="S105" s="21"/>
      <c r="T105" s="21"/>
      <c r="U105" s="21"/>
    </row>
    <row r="106" spans="1:23" ht="18.75" x14ac:dyDescent="0.3">
      <c r="A106" s="206" t="s">
        <v>195</v>
      </c>
      <c r="B106" s="207" t="s">
        <v>21</v>
      </c>
      <c r="C106" s="175">
        <v>22</v>
      </c>
      <c r="D106" s="160"/>
      <c r="E106" s="251" t="s">
        <v>145</v>
      </c>
      <c r="F106" s="252"/>
      <c r="G106" s="252"/>
      <c r="H106" s="253"/>
      <c r="I106" s="205">
        <v>27.159999999999997</v>
      </c>
      <c r="J106" s="168" t="s">
        <v>127</v>
      </c>
      <c r="K106" s="169">
        <v>50</v>
      </c>
      <c r="M106" s="21"/>
      <c r="N106" s="21"/>
      <c r="O106" s="21"/>
      <c r="P106" s="21"/>
      <c r="Q106" s="21"/>
      <c r="R106" s="21"/>
      <c r="S106" s="21"/>
      <c r="T106" s="22"/>
      <c r="U106" s="22"/>
    </row>
    <row r="107" spans="1:23" ht="18.75" x14ac:dyDescent="0.3">
      <c r="A107" s="208" t="s">
        <v>196</v>
      </c>
      <c r="B107" s="209" t="s">
        <v>21</v>
      </c>
      <c r="C107" s="205">
        <v>18</v>
      </c>
      <c r="D107" s="160"/>
      <c r="E107" s="251" t="s">
        <v>147</v>
      </c>
      <c r="F107" s="252"/>
      <c r="G107" s="252"/>
      <c r="H107" s="253"/>
      <c r="I107" s="205">
        <v>31.22</v>
      </c>
      <c r="J107" s="168" t="s">
        <v>130</v>
      </c>
      <c r="K107" s="169">
        <v>50</v>
      </c>
      <c r="M107" s="150"/>
      <c r="N107" s="21"/>
      <c r="O107" s="21"/>
      <c r="P107" s="21"/>
      <c r="Q107" s="21"/>
      <c r="R107" s="21"/>
      <c r="S107" s="21"/>
      <c r="T107" s="21"/>
      <c r="U107" s="21"/>
    </row>
    <row r="108" spans="1:23" ht="18.75" x14ac:dyDescent="0.3">
      <c r="D108" s="160"/>
      <c r="E108" s="251" t="s">
        <v>149</v>
      </c>
      <c r="F108" s="252"/>
      <c r="G108" s="252"/>
      <c r="H108" s="253"/>
      <c r="I108" s="205">
        <v>32.619999999999997</v>
      </c>
      <c r="J108" s="160"/>
      <c r="M108" s="21"/>
      <c r="N108" s="21"/>
      <c r="O108" s="21"/>
      <c r="P108" s="21"/>
      <c r="Q108" s="21"/>
      <c r="R108" s="21"/>
      <c r="S108" s="21"/>
      <c r="T108" s="22"/>
      <c r="U108" s="22"/>
    </row>
    <row r="109" spans="1:23" ht="18.75" x14ac:dyDescent="0.3">
      <c r="A109" s="259" t="s">
        <v>197</v>
      </c>
      <c r="B109" s="259"/>
      <c r="C109" s="163" t="s">
        <v>198</v>
      </c>
      <c r="D109" s="160"/>
      <c r="E109" s="251" t="s">
        <v>152</v>
      </c>
      <c r="F109" s="252"/>
      <c r="G109" s="252"/>
      <c r="H109" s="253"/>
      <c r="I109" s="205">
        <v>37.94</v>
      </c>
      <c r="J109" s="160"/>
      <c r="M109" s="127"/>
      <c r="N109" s="21"/>
      <c r="O109" s="21"/>
      <c r="P109" s="21"/>
      <c r="Q109" s="21"/>
      <c r="R109" s="210"/>
      <c r="S109" s="21"/>
      <c r="T109" s="21"/>
      <c r="U109" s="21"/>
      <c r="V109" s="211"/>
    </row>
    <row r="110" spans="1:23" ht="18.75" x14ac:dyDescent="0.3">
      <c r="A110" s="212" t="s">
        <v>199</v>
      </c>
      <c r="B110" s="212"/>
      <c r="C110" s="167" t="s">
        <v>200</v>
      </c>
      <c r="D110" s="160"/>
      <c r="E110" s="251" t="s">
        <v>153</v>
      </c>
      <c r="F110" s="252"/>
      <c r="G110" s="252"/>
      <c r="H110" s="253"/>
      <c r="I110" s="205">
        <v>43.68</v>
      </c>
      <c r="J110" s="160"/>
      <c r="M110" s="127" t="s">
        <v>106</v>
      </c>
      <c r="N110" s="21"/>
      <c r="O110" s="21"/>
      <c r="P110" s="21"/>
      <c r="Q110" s="21"/>
      <c r="R110" s="21">
        <f t="shared" ref="R110:R115" si="3">E43</f>
        <v>37.659999999999997</v>
      </c>
      <c r="S110" s="21"/>
      <c r="T110" s="21"/>
      <c r="U110" s="21"/>
    </row>
    <row r="111" spans="1:23" ht="18.75" x14ac:dyDescent="0.3">
      <c r="A111" s="212" t="s">
        <v>201</v>
      </c>
      <c r="B111" s="212"/>
      <c r="C111" s="167" t="s">
        <v>202</v>
      </c>
      <c r="D111" s="160"/>
      <c r="E111" s="251" t="s">
        <v>155</v>
      </c>
      <c r="F111" s="252"/>
      <c r="G111" s="252"/>
      <c r="H111" s="253"/>
      <c r="I111" s="205">
        <v>48.58</v>
      </c>
      <c r="J111" s="160"/>
      <c r="M111" s="127" t="s">
        <v>109</v>
      </c>
      <c r="N111" s="21"/>
      <c r="O111" s="21"/>
      <c r="P111" s="21"/>
      <c r="Q111" s="21"/>
      <c r="R111" s="21">
        <f t="shared" si="3"/>
        <v>44.239999999999995</v>
      </c>
      <c r="S111" s="21"/>
      <c r="T111" s="21"/>
      <c r="U111" s="21"/>
    </row>
    <row r="112" spans="1:23" ht="18.75" x14ac:dyDescent="0.3">
      <c r="A112" s="212" t="s">
        <v>203</v>
      </c>
      <c r="B112" s="212"/>
      <c r="C112" s="167" t="s">
        <v>204</v>
      </c>
      <c r="D112" s="160"/>
      <c r="E112" s="251" t="s">
        <v>157</v>
      </c>
      <c r="F112" s="252"/>
      <c r="G112" s="252"/>
      <c r="H112" s="253"/>
      <c r="I112" s="205">
        <v>61.319999999999993</v>
      </c>
      <c r="J112" s="160"/>
      <c r="M112" s="127" t="s">
        <v>111</v>
      </c>
      <c r="N112" s="21"/>
      <c r="O112" s="21"/>
      <c r="P112" s="21"/>
      <c r="Q112" s="21"/>
      <c r="R112" s="21">
        <f t="shared" si="3"/>
        <v>68.599999999999994</v>
      </c>
      <c r="S112" s="21"/>
      <c r="T112" s="21"/>
      <c r="U112" s="21"/>
    </row>
    <row r="113" spans="1:21" ht="18.75" x14ac:dyDescent="0.3">
      <c r="A113" s="212" t="s">
        <v>205</v>
      </c>
      <c r="B113" s="212"/>
      <c r="C113" s="167" t="s">
        <v>206</v>
      </c>
      <c r="D113" s="160"/>
      <c r="E113" s="196"/>
      <c r="F113" s="197"/>
      <c r="G113" s="197"/>
      <c r="H113" s="197"/>
      <c r="I113" s="205"/>
      <c r="J113" s="160"/>
      <c r="M113" s="127" t="s">
        <v>114</v>
      </c>
      <c r="N113" s="21"/>
      <c r="O113" s="21"/>
      <c r="P113" s="21"/>
      <c r="Q113" s="21"/>
      <c r="R113" s="21">
        <f t="shared" si="3"/>
        <v>80.08</v>
      </c>
      <c r="S113" s="21"/>
      <c r="T113" s="21"/>
      <c r="U113" s="21"/>
    </row>
    <row r="114" spans="1:21" ht="18.75" x14ac:dyDescent="0.3">
      <c r="A114" s="212" t="s">
        <v>207</v>
      </c>
      <c r="B114" s="212"/>
      <c r="C114" s="167" t="s">
        <v>208</v>
      </c>
      <c r="D114" s="160"/>
      <c r="E114" s="254" t="s">
        <v>209</v>
      </c>
      <c r="F114" s="255"/>
      <c r="G114" s="255"/>
      <c r="H114" s="256"/>
      <c r="I114" s="163" t="s">
        <v>169</v>
      </c>
      <c r="J114" s="160"/>
      <c r="M114" s="127" t="s">
        <v>117</v>
      </c>
      <c r="N114" s="21"/>
      <c r="O114" s="21"/>
      <c r="P114" s="21"/>
      <c r="Q114" s="21"/>
      <c r="R114" s="21">
        <f t="shared" si="3"/>
        <v>69.44</v>
      </c>
      <c r="S114" s="21"/>
      <c r="T114" s="21"/>
      <c r="U114" s="21"/>
    </row>
    <row r="115" spans="1:21" ht="18.75" x14ac:dyDescent="0.3">
      <c r="A115" s="213" t="s">
        <v>210</v>
      </c>
      <c r="B115" s="213"/>
      <c r="C115" s="167" t="s">
        <v>211</v>
      </c>
      <c r="E115" s="251" t="s">
        <v>139</v>
      </c>
      <c r="F115" s="252"/>
      <c r="G115" s="252"/>
      <c r="H115" s="253"/>
      <c r="I115" s="205">
        <v>25.06</v>
      </c>
      <c r="M115" s="127" t="s">
        <v>120</v>
      </c>
      <c r="N115" s="151"/>
      <c r="O115" s="151"/>
      <c r="P115" s="151"/>
      <c r="Q115" s="151"/>
      <c r="R115" s="151">
        <f t="shared" si="3"/>
        <v>77.14</v>
      </c>
      <c r="S115" s="151"/>
      <c r="T115" s="151"/>
      <c r="U115" s="151"/>
    </row>
    <row r="116" spans="1:21" ht="18.75" x14ac:dyDescent="0.3">
      <c r="A116" s="214" t="s">
        <v>212</v>
      </c>
      <c r="B116" s="214"/>
      <c r="C116" s="215" t="s">
        <v>213</v>
      </c>
      <c r="M116" s="133" t="s">
        <v>181</v>
      </c>
      <c r="N116" s="21"/>
      <c r="O116" s="21"/>
      <c r="P116" s="21"/>
      <c r="Q116" s="21"/>
      <c r="R116" s="21">
        <f>E51</f>
        <v>61.599999999999994</v>
      </c>
      <c r="S116" s="21"/>
      <c r="T116" s="21"/>
      <c r="U116" s="21"/>
    </row>
    <row r="117" spans="1:21" ht="18.75" x14ac:dyDescent="0.3">
      <c r="A117" s="214" t="s">
        <v>214</v>
      </c>
      <c r="B117" s="214"/>
      <c r="C117" s="215" t="s">
        <v>215</v>
      </c>
      <c r="M117" s="127" t="s">
        <v>132</v>
      </c>
      <c r="N117" s="21"/>
      <c r="O117" s="21"/>
      <c r="P117" s="21"/>
      <c r="Q117" s="21"/>
      <c r="R117" s="21">
        <f>E55</f>
        <v>47.46</v>
      </c>
      <c r="S117" s="21"/>
      <c r="T117" s="21"/>
      <c r="U117" s="21"/>
    </row>
    <row r="118" spans="1:21" ht="18.75" x14ac:dyDescent="0.25">
      <c r="A118" s="216"/>
      <c r="B118" s="217"/>
      <c r="C118" s="217"/>
      <c r="D118" s="217"/>
      <c r="E118" s="217"/>
      <c r="F118" s="217"/>
      <c r="G118" s="217"/>
      <c r="H118" s="217"/>
      <c r="I118" s="217"/>
      <c r="J118" s="217"/>
      <c r="M118" s="127" t="s">
        <v>134</v>
      </c>
      <c r="N118" s="21"/>
      <c r="O118" s="21"/>
      <c r="P118" s="21"/>
      <c r="Q118" s="21"/>
      <c r="R118" s="21">
        <f>E57</f>
        <v>55.44</v>
      </c>
      <c r="S118" s="21"/>
      <c r="T118" s="21"/>
      <c r="U118" s="21"/>
    </row>
    <row r="119" spans="1:21" ht="18.75" x14ac:dyDescent="0.25">
      <c r="A119" s="216"/>
      <c r="B119" s="218"/>
      <c r="C119" s="218"/>
      <c r="D119" s="218"/>
      <c r="E119" s="218"/>
      <c r="F119" s="218"/>
      <c r="G119" s="218"/>
      <c r="H119" s="218"/>
      <c r="I119" s="218"/>
      <c r="J119" s="218"/>
      <c r="M119" s="127" t="s">
        <v>135</v>
      </c>
      <c r="N119" s="21"/>
      <c r="O119" s="21"/>
      <c r="P119" s="21"/>
      <c r="Q119" s="21"/>
      <c r="R119" s="21">
        <f>E58</f>
        <v>62.44</v>
      </c>
      <c r="S119" s="21"/>
      <c r="T119" s="21"/>
      <c r="U119" s="21"/>
    </row>
    <row r="120" spans="1:21" ht="18.75" x14ac:dyDescent="0.25">
      <c r="A120" s="219" t="s">
        <v>145</v>
      </c>
      <c r="B120" s="243" t="s">
        <v>216</v>
      </c>
      <c r="C120" s="243"/>
      <c r="D120" s="243"/>
      <c r="E120" s="243"/>
      <c r="F120" s="243"/>
      <c r="G120" s="243"/>
      <c r="H120" s="243"/>
      <c r="I120" s="243"/>
      <c r="J120" s="243"/>
      <c r="M120" s="133" t="s">
        <v>62</v>
      </c>
      <c r="N120" s="21"/>
      <c r="O120" s="21"/>
      <c r="P120" s="21"/>
      <c r="Q120" s="21"/>
      <c r="R120" s="21"/>
      <c r="S120" s="21"/>
      <c r="T120" s="21"/>
      <c r="U120" s="21"/>
    </row>
    <row r="121" spans="1:21" ht="18.75" customHeight="1" x14ac:dyDescent="0.25">
      <c r="A121" s="219" t="s">
        <v>147</v>
      </c>
      <c r="B121" s="248" t="s">
        <v>217</v>
      </c>
      <c r="C121" s="248"/>
      <c r="D121" s="248"/>
      <c r="E121" s="248"/>
      <c r="F121" s="248"/>
      <c r="G121" s="248"/>
      <c r="H121" s="248"/>
      <c r="I121" s="248"/>
      <c r="J121" s="248"/>
      <c r="M121" s="133"/>
      <c r="N121" s="21"/>
      <c r="O121" s="21"/>
      <c r="P121" s="21"/>
      <c r="Q121" s="21"/>
      <c r="R121" s="21"/>
      <c r="S121" s="21"/>
      <c r="T121" s="21"/>
      <c r="U121" s="21"/>
    </row>
    <row r="122" spans="1:21" ht="18.75" x14ac:dyDescent="0.25">
      <c r="A122" s="219" t="s">
        <v>149</v>
      </c>
      <c r="B122" s="248" t="s">
        <v>218</v>
      </c>
      <c r="C122" s="248"/>
      <c r="D122" s="248"/>
      <c r="E122" s="248"/>
      <c r="F122" s="248"/>
      <c r="G122" s="248"/>
      <c r="H122" s="248"/>
      <c r="I122" s="248"/>
      <c r="J122" s="248"/>
      <c r="M122" s="133"/>
      <c r="N122" s="21"/>
      <c r="O122" s="21"/>
      <c r="P122" s="21"/>
      <c r="Q122" s="21"/>
      <c r="R122" s="21"/>
      <c r="S122" s="21"/>
      <c r="T122" s="21"/>
      <c r="U122" s="21"/>
    </row>
    <row r="123" spans="1:21" ht="15" customHeight="1" x14ac:dyDescent="0.25">
      <c r="A123" s="219" t="s">
        <v>152</v>
      </c>
      <c r="B123" s="248" t="s">
        <v>219</v>
      </c>
      <c r="C123" s="248"/>
      <c r="D123" s="248"/>
      <c r="E123" s="248"/>
      <c r="F123" s="248"/>
      <c r="G123" s="248"/>
      <c r="H123" s="248"/>
      <c r="I123" s="248"/>
      <c r="J123" s="248"/>
      <c r="M123" s="133"/>
      <c r="N123" s="21"/>
      <c r="O123" s="21"/>
      <c r="P123" s="21"/>
      <c r="Q123" s="21"/>
      <c r="R123" s="21"/>
      <c r="S123" s="21"/>
      <c r="T123" s="21"/>
      <c r="U123" s="21"/>
    </row>
    <row r="124" spans="1:21" ht="23.25" customHeight="1" x14ac:dyDescent="0.3">
      <c r="A124" s="219" t="s">
        <v>153</v>
      </c>
      <c r="B124" s="248" t="s">
        <v>220</v>
      </c>
      <c r="C124" s="248"/>
      <c r="D124" s="248"/>
      <c r="E124" s="248"/>
      <c r="F124" s="249" t="s">
        <v>221</v>
      </c>
      <c r="G124" s="249"/>
      <c r="H124" s="249"/>
      <c r="I124" s="220" t="s">
        <v>222</v>
      </c>
      <c r="J124" s="220"/>
      <c r="M124" s="127" t="s">
        <v>62</v>
      </c>
      <c r="N124" s="21"/>
      <c r="O124" s="21"/>
      <c r="P124" s="21"/>
      <c r="Q124" s="21"/>
      <c r="R124" s="21"/>
      <c r="S124" s="21">
        <f>E64</f>
        <v>43.4</v>
      </c>
      <c r="T124" s="21"/>
      <c r="U124" s="21"/>
    </row>
    <row r="125" spans="1:21" ht="18.75" x14ac:dyDescent="0.25">
      <c r="A125" s="219" t="s">
        <v>155</v>
      </c>
      <c r="B125" s="209" t="s">
        <v>223</v>
      </c>
      <c r="C125" s="221" t="s">
        <v>224</v>
      </c>
      <c r="D125" s="250" t="s">
        <v>225</v>
      </c>
      <c r="E125" s="250"/>
      <c r="F125" s="250"/>
      <c r="G125" s="250"/>
      <c r="H125" s="250"/>
      <c r="I125" s="250"/>
      <c r="J125" s="250"/>
      <c r="M125" s="127" t="s">
        <v>100</v>
      </c>
      <c r="N125" s="21"/>
      <c r="O125" s="21"/>
      <c r="P125" s="21"/>
      <c r="Q125" s="21"/>
      <c r="R125" s="21"/>
      <c r="S125" s="21">
        <f>E65</f>
        <v>55.999999999999993</v>
      </c>
      <c r="T125" s="21"/>
      <c r="U125" s="21"/>
    </row>
    <row r="126" spans="1:21" x14ac:dyDescent="0.25">
      <c r="A126" s="233" t="s">
        <v>157</v>
      </c>
      <c r="B126" s="235" t="s">
        <v>226</v>
      </c>
      <c r="C126" s="237" t="s">
        <v>227</v>
      </c>
      <c r="D126" s="238"/>
      <c r="E126" s="238"/>
      <c r="F126" s="238"/>
      <c r="G126" s="238"/>
      <c r="H126" s="238"/>
      <c r="I126" s="238"/>
      <c r="J126" s="239"/>
      <c r="M126" s="127" t="s">
        <v>102</v>
      </c>
      <c r="N126" s="21"/>
      <c r="O126" s="21"/>
      <c r="P126" s="21"/>
      <c r="Q126" s="21"/>
      <c r="R126" s="21"/>
      <c r="S126" s="21">
        <f>E66</f>
        <v>65.8</v>
      </c>
      <c r="T126" s="21"/>
      <c r="U126" s="21"/>
    </row>
    <row r="127" spans="1:21" ht="25.5" customHeight="1" x14ac:dyDescent="0.25">
      <c r="A127" s="234"/>
      <c r="B127" s="236"/>
      <c r="C127" s="240"/>
      <c r="D127" s="241"/>
      <c r="E127" s="241"/>
      <c r="F127" s="241"/>
      <c r="G127" s="241"/>
      <c r="H127" s="241"/>
      <c r="I127" s="241"/>
      <c r="J127" s="242"/>
      <c r="M127" s="127" t="s">
        <v>105</v>
      </c>
      <c r="N127" s="21"/>
      <c r="O127" s="21"/>
      <c r="P127" s="21"/>
      <c r="Q127" s="21"/>
      <c r="R127" s="21"/>
      <c r="S127" s="21">
        <f>E67</f>
        <v>74.199999999999989</v>
      </c>
      <c r="T127" s="21"/>
      <c r="U127" s="21"/>
    </row>
    <row r="128" spans="1:21" ht="18.75" x14ac:dyDescent="0.25">
      <c r="A128" s="219"/>
      <c r="B128" s="243"/>
      <c r="C128" s="243"/>
      <c r="D128" s="243"/>
      <c r="E128" s="243"/>
      <c r="F128" s="243"/>
      <c r="G128" s="243"/>
      <c r="H128" s="243"/>
      <c r="I128" s="243"/>
      <c r="J128" s="243"/>
      <c r="M128" s="127" t="s">
        <v>108</v>
      </c>
      <c r="N128" s="21">
        <f>B44</f>
        <v>34.159999999999997</v>
      </c>
      <c r="O128" s="21"/>
      <c r="P128" s="21"/>
      <c r="Q128" s="21"/>
      <c r="R128" s="21"/>
      <c r="S128" s="21"/>
      <c r="T128" s="22"/>
      <c r="U128" s="22"/>
    </row>
    <row r="129" spans="1:21" ht="18.75" x14ac:dyDescent="0.3">
      <c r="A129" s="160"/>
      <c r="B129" s="159"/>
      <c r="C129" s="160"/>
      <c r="D129" s="160"/>
      <c r="E129" s="160"/>
      <c r="F129" s="160"/>
      <c r="G129" s="160"/>
      <c r="H129" s="160"/>
      <c r="I129" s="160"/>
      <c r="J129" s="160"/>
      <c r="M129" s="127" t="s">
        <v>110</v>
      </c>
      <c r="N129" s="21">
        <f>B45</f>
        <v>34.159999999999997</v>
      </c>
      <c r="O129" s="21"/>
      <c r="P129" s="21"/>
      <c r="Q129" s="21"/>
      <c r="R129" s="21"/>
      <c r="S129" s="21"/>
      <c r="T129" s="22"/>
      <c r="U129" s="22"/>
    </row>
    <row r="130" spans="1:21" ht="18.75" x14ac:dyDescent="0.25">
      <c r="A130" s="244" t="s">
        <v>228</v>
      </c>
      <c r="B130" s="244"/>
      <c r="C130" s="244"/>
      <c r="D130" s="244"/>
      <c r="E130" s="244"/>
      <c r="F130" s="244"/>
      <c r="G130" s="244"/>
      <c r="H130" s="244"/>
      <c r="I130" s="244"/>
      <c r="J130" s="244"/>
      <c r="M130" s="127" t="s">
        <v>123</v>
      </c>
      <c r="N130" s="21"/>
      <c r="O130" s="21"/>
      <c r="P130" s="21"/>
      <c r="Q130" s="21"/>
      <c r="R130" s="21">
        <f>E49</f>
        <v>69.16</v>
      </c>
      <c r="S130" s="21"/>
      <c r="T130" s="22"/>
      <c r="U130" s="22"/>
    </row>
    <row r="131" spans="1:21" ht="18.75" x14ac:dyDescent="0.25">
      <c r="A131" s="245" t="s">
        <v>229</v>
      </c>
      <c r="B131" s="246"/>
      <c r="C131" s="246"/>
      <c r="D131" s="246"/>
      <c r="E131" s="246"/>
      <c r="F131" s="246"/>
      <c r="G131" s="246"/>
      <c r="H131" s="246"/>
      <c r="I131" s="246"/>
      <c r="J131" s="247"/>
      <c r="M131" s="127" t="s">
        <v>126</v>
      </c>
      <c r="N131" s="21"/>
      <c r="O131" s="21"/>
      <c r="P131" s="21"/>
      <c r="Q131" s="21"/>
      <c r="R131" s="21">
        <f>E50</f>
        <v>69.16</v>
      </c>
      <c r="S131" s="21"/>
      <c r="T131" s="22"/>
      <c r="U131" s="22"/>
    </row>
    <row r="132" spans="1:21" ht="19.5" thickBot="1" x14ac:dyDescent="0.35">
      <c r="A132" s="232" t="s">
        <v>230</v>
      </c>
      <c r="B132" s="232"/>
      <c r="C132" s="232"/>
      <c r="D132" s="232"/>
      <c r="E132" s="232"/>
      <c r="F132" s="232"/>
      <c r="G132" s="232"/>
      <c r="H132" s="232"/>
      <c r="I132" s="232"/>
      <c r="J132" s="232"/>
      <c r="M132" s="133" t="s">
        <v>141</v>
      </c>
      <c r="N132" s="151"/>
      <c r="O132" s="151"/>
      <c r="P132" s="151"/>
      <c r="Q132" s="151"/>
      <c r="R132" s="151"/>
      <c r="S132" s="151"/>
      <c r="T132" s="151">
        <f>D76</f>
        <v>70</v>
      </c>
      <c r="U132" s="151"/>
    </row>
    <row r="133" spans="1:21" ht="18.75" x14ac:dyDescent="0.3">
      <c r="A133" s="232" t="s">
        <v>231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M133" s="157" t="s">
        <v>142</v>
      </c>
      <c r="N133" s="21"/>
      <c r="O133" s="21"/>
      <c r="P133" s="21"/>
      <c r="Q133" s="21"/>
      <c r="R133" s="21"/>
      <c r="S133" s="21"/>
      <c r="T133" s="21"/>
      <c r="U133" s="21">
        <f>D78</f>
        <v>77</v>
      </c>
    </row>
    <row r="134" spans="1:21" ht="18.75" x14ac:dyDescent="0.3">
      <c r="A134" s="232" t="s">
        <v>232</v>
      </c>
      <c r="B134" s="232"/>
      <c r="C134" s="232"/>
      <c r="D134" s="232"/>
      <c r="E134" s="232"/>
      <c r="F134" s="232"/>
      <c r="G134" s="232"/>
      <c r="H134" s="232"/>
      <c r="I134" s="232"/>
      <c r="J134" s="232"/>
    </row>
    <row r="135" spans="1:21" ht="19.5" thickBot="1" x14ac:dyDescent="0.35">
      <c r="A135" s="232" t="s">
        <v>233</v>
      </c>
      <c r="B135" s="232"/>
      <c r="C135" s="232"/>
      <c r="D135" s="232"/>
      <c r="E135" s="232"/>
      <c r="F135" s="232"/>
      <c r="G135" s="232"/>
      <c r="H135" s="232"/>
      <c r="I135" s="232"/>
      <c r="J135" s="232"/>
    </row>
    <row r="136" spans="1:21" x14ac:dyDescent="0.25">
      <c r="M136"/>
      <c r="N136" s="156" t="s">
        <v>136</v>
      </c>
      <c r="O136" s="12" t="s">
        <v>137</v>
      </c>
      <c r="P136" s="12" t="s">
        <v>138</v>
      </c>
      <c r="Q136" s="12" t="s">
        <v>139</v>
      </c>
      <c r="R136" s="12" t="s">
        <v>140</v>
      </c>
      <c r="S136" s="12" t="s">
        <v>57</v>
      </c>
      <c r="T136" s="12" t="s">
        <v>141</v>
      </c>
      <c r="U136" s="157" t="s">
        <v>142</v>
      </c>
    </row>
    <row r="137" spans="1:21" x14ac:dyDescent="0.25">
      <c r="M137" s="133"/>
      <c r="N137" s="222"/>
      <c r="O137" s="151"/>
      <c r="P137" s="151"/>
      <c r="Q137" s="151"/>
      <c r="R137" s="151"/>
      <c r="S137" s="151"/>
      <c r="T137" s="151"/>
      <c r="U137" s="223"/>
    </row>
    <row r="138" spans="1:21" x14ac:dyDescent="0.25">
      <c r="M138" s="133" t="s">
        <v>62</v>
      </c>
      <c r="N138" s="224">
        <f>IF(AND(B19="стекло",B20="стекло б/ц  4мм"),N81,0)</f>
        <v>0</v>
      </c>
      <c r="O138" s="21">
        <f t="shared" ref="O138:P140" si="4">IF(AND(C19="зеркало",C20="стекло б/ц  4мм"),O81,0)</f>
        <v>0</v>
      </c>
      <c r="P138" s="21">
        <f t="shared" si="4"/>
        <v>0</v>
      </c>
      <c r="Q138" s="21">
        <f t="shared" ref="Q138:R140" si="5">IF(AND(F19="мателак",F20="стекло б/ц  4мм"),Q81,0)</f>
        <v>0</v>
      </c>
      <c r="R138" s="21">
        <f t="shared" si="5"/>
        <v>0</v>
      </c>
      <c r="S138" s="21">
        <v>0</v>
      </c>
      <c r="T138" s="21">
        <f t="shared" ref="T138:U140" si="6">IF(AND(I19="мателак",I20="стекло б/ц  4мм"),T81,0)</f>
        <v>0</v>
      </c>
      <c r="U138" s="21">
        <f t="shared" si="6"/>
        <v>0</v>
      </c>
    </row>
    <row r="139" spans="1:21" x14ac:dyDescent="0.25">
      <c r="M139" s="127" t="s">
        <v>100</v>
      </c>
      <c r="N139" s="224">
        <f>IF(AND(B19="стекло",B20="стекло б/ц  6мм"),N82,0)</f>
        <v>0</v>
      </c>
      <c r="O139" s="21">
        <f t="shared" si="4"/>
        <v>0</v>
      </c>
      <c r="P139" s="21">
        <f t="shared" si="4"/>
        <v>0</v>
      </c>
      <c r="Q139" s="21">
        <f t="shared" si="5"/>
        <v>0</v>
      </c>
      <c r="R139" s="21">
        <f t="shared" si="5"/>
        <v>0</v>
      </c>
      <c r="S139" s="21">
        <v>0</v>
      </c>
      <c r="T139" s="21">
        <f t="shared" si="6"/>
        <v>0</v>
      </c>
      <c r="U139" s="21">
        <f t="shared" si="6"/>
        <v>0</v>
      </c>
    </row>
    <row r="140" spans="1:21" x14ac:dyDescent="0.25">
      <c r="M140" s="127" t="s">
        <v>102</v>
      </c>
      <c r="N140" s="224">
        <f>IF(AND(B19="стекло",B20="стекло осветленное  4мм"),N83,0)</f>
        <v>0</v>
      </c>
      <c r="O140" s="21">
        <f t="shared" si="4"/>
        <v>0</v>
      </c>
      <c r="P140" s="21">
        <f t="shared" si="4"/>
        <v>0</v>
      </c>
      <c r="Q140" s="21">
        <f t="shared" si="5"/>
        <v>0</v>
      </c>
      <c r="R140" s="21">
        <f t="shared" si="5"/>
        <v>0</v>
      </c>
      <c r="S140" s="21">
        <f>IF(AND(H21="мателак",H22="стекло б/ц  4мм"),S83,0)</f>
        <v>0</v>
      </c>
      <c r="T140" s="21">
        <f t="shared" si="6"/>
        <v>0</v>
      </c>
      <c r="U140" s="21">
        <f t="shared" si="6"/>
        <v>0</v>
      </c>
    </row>
    <row r="141" spans="1:21" x14ac:dyDescent="0.25">
      <c r="M141" s="127"/>
      <c r="N141" s="224"/>
      <c r="O141" s="21"/>
      <c r="P141" s="21"/>
      <c r="Q141" s="21"/>
      <c r="R141" s="21"/>
      <c r="S141" s="21"/>
      <c r="T141" s="21"/>
      <c r="U141" s="21"/>
    </row>
    <row r="142" spans="1:21" x14ac:dyDescent="0.25">
      <c r="M142" s="127" t="s">
        <v>105</v>
      </c>
      <c r="N142" s="224">
        <f>IF(AND(B19="стекло",B20="стекло осветленное  6мм"),N84,0)</f>
        <v>0</v>
      </c>
      <c r="O142" s="21">
        <f t="shared" ref="O142:P144" si="7">IF(AND(C22="зеркало",C23="стекло б/ц  4мм"),O84,0)</f>
        <v>0</v>
      </c>
      <c r="P142" s="21">
        <f t="shared" si="7"/>
        <v>0</v>
      </c>
      <c r="Q142" s="21">
        <f t="shared" ref="Q142:U144" si="8">IF(AND(F22="мателак",F23="стекло б/ц  4мм"),Q84,0)</f>
        <v>0</v>
      </c>
      <c r="R142" s="21">
        <f t="shared" si="8"/>
        <v>0</v>
      </c>
      <c r="S142" s="21">
        <f t="shared" si="8"/>
        <v>0</v>
      </c>
      <c r="T142" s="21">
        <f t="shared" si="8"/>
        <v>0</v>
      </c>
      <c r="U142" s="21">
        <f t="shared" si="8"/>
        <v>0</v>
      </c>
    </row>
    <row r="143" spans="1:21" x14ac:dyDescent="0.25">
      <c r="M143" s="127" t="s">
        <v>113</v>
      </c>
      <c r="N143" s="224">
        <f>IF(AND(B19="стекло",B20="Стекло 4 мм (бронза/графит)(Planibel Bronze, Grey)"),N85,0)</f>
        <v>0</v>
      </c>
      <c r="O143" s="21">
        <f t="shared" si="7"/>
        <v>0</v>
      </c>
      <c r="P143" s="21">
        <f t="shared" si="7"/>
        <v>0</v>
      </c>
      <c r="Q143" s="21">
        <f t="shared" si="8"/>
        <v>0</v>
      </c>
      <c r="R143" s="21">
        <f t="shared" si="8"/>
        <v>0</v>
      </c>
      <c r="S143" s="21">
        <f t="shared" si="8"/>
        <v>0</v>
      </c>
      <c r="T143" s="21">
        <f t="shared" si="8"/>
        <v>0</v>
      </c>
      <c r="U143" s="21">
        <f t="shared" si="8"/>
        <v>0</v>
      </c>
    </row>
    <row r="144" spans="1:21" x14ac:dyDescent="0.25">
      <c r="M144" s="127" t="s">
        <v>116</v>
      </c>
      <c r="N144" s="224">
        <f>IF(AND(B19="стекло",B20="Стекло 6 мм (бронза/графит)(Planibel Bronze, Grey)"),N86,0)</f>
        <v>0</v>
      </c>
      <c r="O144" s="21">
        <f t="shared" si="7"/>
        <v>0</v>
      </c>
      <c r="P144" s="21">
        <f t="shared" si="7"/>
        <v>0</v>
      </c>
      <c r="Q144" s="21">
        <f t="shared" si="8"/>
        <v>0</v>
      </c>
      <c r="R144" s="21">
        <f t="shared" si="8"/>
        <v>0</v>
      </c>
      <c r="S144" s="21">
        <f t="shared" si="8"/>
        <v>0</v>
      </c>
      <c r="T144" s="21">
        <f t="shared" si="8"/>
        <v>0</v>
      </c>
      <c r="U144" s="21">
        <f t="shared" si="8"/>
        <v>0</v>
      </c>
    </row>
    <row r="145" spans="7:21" x14ac:dyDescent="0.25">
      <c r="M145" s="21" t="s">
        <v>119</v>
      </c>
      <c r="N145" s="224">
        <f>IF(AND(B19="стекло",B20="Стекло 4 мм (темный Графит) (Planibel Dark Grey) "),N87,0)</f>
        <v>0</v>
      </c>
      <c r="O145" s="21">
        <f>IF(AND(C25="зеркало",C26="стекло б/ц  4мм"),O88,0)</f>
        <v>0</v>
      </c>
      <c r="P145" s="21">
        <f>IF(AND(D25="зеркало",D26="стекло б/ц  4мм"),P88,0)</f>
        <v>0</v>
      </c>
      <c r="Q145" s="21">
        <f t="shared" ref="Q145:U154" si="9">IF(AND(F25="мателак",F26="стекло б/ц  4мм"),Q88,0)</f>
        <v>0</v>
      </c>
      <c r="R145" s="21">
        <f t="shared" si="9"/>
        <v>0</v>
      </c>
      <c r="S145" s="21">
        <f t="shared" si="9"/>
        <v>0</v>
      </c>
      <c r="T145" s="21">
        <f t="shared" si="9"/>
        <v>0</v>
      </c>
      <c r="U145" s="21">
        <f t="shared" si="9"/>
        <v>0</v>
      </c>
    </row>
    <row r="146" spans="7:21" x14ac:dyDescent="0.25">
      <c r="M146" s="127" t="s">
        <v>122</v>
      </c>
      <c r="N146" s="224">
        <f>IF(AND(B19="стекло",B20="Стекло матовое тонированное САТИН 4 мм (Matelux)"),N88,0)</f>
        <v>0</v>
      </c>
      <c r="O146" s="21">
        <f>IF(AND(C26="зеркало",C27="стекло б/ц  4мм"),O89,0)</f>
        <v>0</v>
      </c>
      <c r="P146" s="21">
        <f>IF(AND(D26="зеркало",D27="стекло б/ц  4мм"),P89,0)</f>
        <v>0</v>
      </c>
      <c r="Q146" s="21">
        <f t="shared" si="9"/>
        <v>0</v>
      </c>
      <c r="R146" s="21">
        <f t="shared" si="9"/>
        <v>0</v>
      </c>
      <c r="S146" s="21">
        <f t="shared" si="9"/>
        <v>0</v>
      </c>
      <c r="T146" s="21">
        <f t="shared" si="9"/>
        <v>0</v>
      </c>
      <c r="U146" s="21">
        <f t="shared" si="9"/>
        <v>0</v>
      </c>
    </row>
    <row r="147" spans="7:21" ht="15" customHeight="1" x14ac:dyDescent="0.3">
      <c r="G147" s="225"/>
      <c r="H147" s="226"/>
      <c r="I147" s="227"/>
      <c r="M147" s="127" t="s">
        <v>125</v>
      </c>
      <c r="N147" s="224">
        <f>IF(AND(B19="стекло",B20="Стекло матовое тонированное САТИН 6 мм (Matelux)"),N89,0)</f>
        <v>0</v>
      </c>
      <c r="O147" s="21">
        <f>IF(AND(B19="зеркало",B20="серебро"),O93,0)</f>
        <v>0</v>
      </c>
      <c r="P147" s="21">
        <f>IF(AND(D27="зеркало",D28="стекло б/ц  4мм"),P90,0)</f>
        <v>0</v>
      </c>
      <c r="Q147" s="21">
        <f t="shared" si="9"/>
        <v>0</v>
      </c>
      <c r="R147" s="21">
        <f t="shared" si="9"/>
        <v>0</v>
      </c>
      <c r="S147" s="21">
        <f t="shared" si="9"/>
        <v>0</v>
      </c>
      <c r="T147" s="21">
        <f t="shared" si="9"/>
        <v>0</v>
      </c>
      <c r="U147" s="21">
        <f t="shared" si="9"/>
        <v>0</v>
      </c>
    </row>
    <row r="148" spans="7:21" ht="15" customHeight="1" x14ac:dyDescent="0.25">
      <c r="M148" s="21" t="s">
        <v>128</v>
      </c>
      <c r="N148" s="224">
        <f>IF(AND(B19="стекло",B20="Стекло матовое тонированное САТИН 4 мм (Matelux Bronze, Grey)"),N90,0)</f>
        <v>0</v>
      </c>
      <c r="O148" s="21">
        <f>IF(AND(B19="зеркало",B20="бронза/графит"),O94,0)</f>
        <v>0</v>
      </c>
      <c r="P148" s="21">
        <f>IF(AND(D28="зеркало",D29="стекло б/ц  4мм"),P91,0)</f>
        <v>0</v>
      </c>
      <c r="Q148" s="21">
        <f t="shared" si="9"/>
        <v>0</v>
      </c>
      <c r="R148" s="21">
        <f t="shared" si="9"/>
        <v>0</v>
      </c>
      <c r="S148" s="21">
        <f t="shared" si="9"/>
        <v>0</v>
      </c>
      <c r="T148" s="21">
        <f t="shared" si="9"/>
        <v>0</v>
      </c>
      <c r="U148" s="21">
        <f t="shared" si="9"/>
        <v>0</v>
      </c>
    </row>
    <row r="149" spans="7:21" ht="15" customHeight="1" x14ac:dyDescent="0.25">
      <c r="M149" s="21" t="s">
        <v>131</v>
      </c>
      <c r="N149" s="224">
        <f>IF(AND(B19="стекло",B20="Стекло матовое  тонированное САТИН 6 мм (Matelux Bronze, Grey)"),N91,0)</f>
        <v>0</v>
      </c>
      <c r="O149" s="21">
        <f>IF(AND(B19="зеркало",B20="серебро матовое"),O95,0)</f>
        <v>0</v>
      </c>
      <c r="P149" s="21">
        <f>IF(AND(D29="зеркало",D30="стекло б/ц  4мм"),P92,0)</f>
        <v>0</v>
      </c>
      <c r="Q149" s="21">
        <f t="shared" si="9"/>
        <v>0</v>
      </c>
      <c r="R149" s="21">
        <f t="shared" si="9"/>
        <v>0</v>
      </c>
      <c r="S149" s="21">
        <f t="shared" si="9"/>
        <v>0</v>
      </c>
      <c r="T149" s="21">
        <f t="shared" si="9"/>
        <v>0</v>
      </c>
      <c r="U149" s="21">
        <f t="shared" si="9"/>
        <v>0</v>
      </c>
    </row>
    <row r="150" spans="7:21" ht="15" customHeight="1" x14ac:dyDescent="0.25">
      <c r="M150" s="21" t="s">
        <v>133</v>
      </c>
      <c r="N150" s="21">
        <f>IF(AND(B19="стекло",B20="Узорчатое стекло "),N92,0)</f>
        <v>0</v>
      </c>
      <c r="O150" s="228">
        <f>IF(AND(B19="зеркало",B20="бронза/графит матовое"),O96,0)</f>
        <v>0</v>
      </c>
      <c r="P150" s="21">
        <f>IF(AND(D30="зеркало",D31="стекло б/ц  4мм"),P93,0)</f>
        <v>0</v>
      </c>
      <c r="Q150" s="21">
        <f t="shared" si="9"/>
        <v>0</v>
      </c>
      <c r="R150" s="21">
        <f t="shared" si="9"/>
        <v>0</v>
      </c>
      <c r="S150" s="21">
        <f t="shared" si="9"/>
        <v>0</v>
      </c>
      <c r="T150" s="21">
        <f t="shared" si="9"/>
        <v>0</v>
      </c>
      <c r="U150" s="21">
        <f t="shared" si="9"/>
        <v>0</v>
      </c>
    </row>
    <row r="151" spans="7:21" x14ac:dyDescent="0.25">
      <c r="M151" s="21" t="s">
        <v>143</v>
      </c>
      <c r="N151" s="21">
        <v>0</v>
      </c>
      <c r="O151" s="228">
        <f>IF(AND(B19="зеркало",B20="Зеркало серебро (Mirox NGE M1)"),O93,0)</f>
        <v>0</v>
      </c>
      <c r="P151" s="21">
        <f>IF(AND(B19="лакобель",B20="9005 (классический черный)"),P97,0)</f>
        <v>0</v>
      </c>
      <c r="Q151" s="21">
        <f t="shared" si="9"/>
        <v>0</v>
      </c>
      <c r="R151" s="21">
        <f t="shared" si="9"/>
        <v>0</v>
      </c>
      <c r="S151" s="21">
        <f t="shared" si="9"/>
        <v>0</v>
      </c>
      <c r="T151" s="21">
        <f t="shared" si="9"/>
        <v>0</v>
      </c>
      <c r="U151" s="21">
        <f t="shared" si="9"/>
        <v>0</v>
      </c>
    </row>
    <row r="152" spans="7:21" x14ac:dyDescent="0.25">
      <c r="M152" s="21" t="s">
        <v>146</v>
      </c>
      <c r="N152" s="21">
        <v>0</v>
      </c>
      <c r="O152" s="228">
        <f>IF(AND(B19="зеркало",B20="Зеркало бронза, графит (Mirox NGE Bronze, Grey)"),O94,0)</f>
        <v>0</v>
      </c>
      <c r="P152" s="21">
        <f>IF(AND(B19="лакобель",B20="8715 (зеленый шалфей)"),P98,0)</f>
        <v>0</v>
      </c>
      <c r="Q152" s="21">
        <f t="shared" si="9"/>
        <v>0</v>
      </c>
      <c r="R152" s="21">
        <f t="shared" si="9"/>
        <v>0</v>
      </c>
      <c r="S152" s="21">
        <f>IF(AND(H32="мателак",K33="стекло б/ц  4мм"),S95,0)</f>
        <v>0</v>
      </c>
      <c r="T152" s="21">
        <f>IF(AND(I32="мателак",L33="стекло б/ц  4мм"),T95,0)</f>
        <v>0</v>
      </c>
      <c r="U152" s="21">
        <f>IF(AND(J32="мателак",J33="стекло б/ц  4мм"),U95,0)</f>
        <v>0</v>
      </c>
    </row>
    <row r="153" spans="7:21" x14ac:dyDescent="0.25">
      <c r="M153" s="127" t="s">
        <v>148</v>
      </c>
      <c r="N153" s="21">
        <v>0</v>
      </c>
      <c r="O153" s="228">
        <f>IF(AND(B19="зеркало",B20="Зеркало серебро матовое (Matelac Silver)"),O95,0)</f>
        <v>0</v>
      </c>
      <c r="P153" s="21">
        <f>IF(AND(B19="лакобель",B20="8815 (красный терракот)"),P99,0)</f>
        <v>0</v>
      </c>
      <c r="Q153" s="21">
        <f t="shared" si="9"/>
        <v>0</v>
      </c>
      <c r="R153" s="21">
        <f t="shared" si="9"/>
        <v>0</v>
      </c>
      <c r="S153" s="21">
        <f>IF(AND(K33="мателак",H34="стекло б/ц  4мм"),S96,0)</f>
        <v>0</v>
      </c>
      <c r="T153" s="21">
        <f>IF(AND(L33="мателак",I34="стекло б/ц  4мм"),T96,0)</f>
        <v>0</v>
      </c>
      <c r="U153" s="21">
        <f>IF(AND(J33="мателак",J34="стекло б/ц  4мм"),U96,0)</f>
        <v>0</v>
      </c>
    </row>
    <row r="154" spans="7:21" x14ac:dyDescent="0.25">
      <c r="M154" s="127" t="s">
        <v>150</v>
      </c>
      <c r="N154" s="21">
        <v>0</v>
      </c>
      <c r="O154" s="228">
        <f>IF(AND(B19="зеркало",B20="Зеркало бронза, графит матовое (Matelac Bronze, Grey)"),O96,0)</f>
        <v>0</v>
      </c>
      <c r="P154" s="21">
        <f>IF(AND(B19="лакобель",B20="1015 (светло-бежевый)"),P100,0)</f>
        <v>0</v>
      </c>
      <c r="Q154" s="21">
        <f t="shared" si="9"/>
        <v>0</v>
      </c>
      <c r="R154" s="21">
        <f t="shared" si="9"/>
        <v>0</v>
      </c>
      <c r="S154" s="21">
        <f>IF(AND(H34="мателак",H35="стекло б/ц  4мм"),S97,0)</f>
        <v>0</v>
      </c>
      <c r="T154" s="21">
        <f>IF(AND(I34="мателак",I35="стекло б/ц  4мм"),T97,0)</f>
        <v>0</v>
      </c>
      <c r="U154" s="21">
        <f>IF(AND(J34="мателак",J35="стекло б/ц  4мм"),U97,0)</f>
        <v>0</v>
      </c>
    </row>
    <row r="155" spans="7:21" x14ac:dyDescent="0.25">
      <c r="M155" s="150" t="s">
        <v>145</v>
      </c>
      <c r="N155" s="21">
        <v>0</v>
      </c>
      <c r="O155" s="21">
        <f>IF(AND(C35="зеркало",C36="стекло б/ц  4мм"),O98,0)</f>
        <v>0</v>
      </c>
      <c r="P155" s="229">
        <f>IF(AND(B19="лакобель",B20="Лакобель категория 1"),P97,0)</f>
        <v>0</v>
      </c>
      <c r="Q155" s="21">
        <f>IF(AND(F35="мателак",E36="стекло б/ц  4мм"),Q98,0)</f>
        <v>0</v>
      </c>
      <c r="R155" s="21">
        <f>IF(AND(G35="мателак",G36="стекло б/ц  4мм"),R98,0)</f>
        <v>0</v>
      </c>
      <c r="S155" s="21">
        <f>IF(AND(H35="мателак",H36="стекло б/ц  4мм"),S98,0)</f>
        <v>0</v>
      </c>
      <c r="T155" s="21">
        <f>IF(AND(I35="мателак",I36="стекло б/ц  4мм"),T98,0)</f>
        <v>0</v>
      </c>
      <c r="U155" s="21">
        <f>IF(AND(J35="мателак",J36="стекло б/ц  4мм"),U98,0)</f>
        <v>0</v>
      </c>
    </row>
    <row r="156" spans="7:21" x14ac:dyDescent="0.25">
      <c r="M156" s="150" t="s">
        <v>147</v>
      </c>
      <c r="N156" s="21">
        <v>0</v>
      </c>
      <c r="O156" s="21">
        <f>IF(AND(C36="зеркало",C38="стекло б/ц  4мм"),O99,0)</f>
        <v>0</v>
      </c>
      <c r="P156" s="229">
        <f>IF(AND(B19="лакобель",B20="Лакобель категория 2"),P98,0)</f>
        <v>0</v>
      </c>
      <c r="Q156" s="21">
        <f>IF(AND(E36="мателак",F38="стекло б/ц  4мм"),Q99,0)</f>
        <v>0</v>
      </c>
      <c r="R156" s="21">
        <f>IF(AND(G36="мателак",G38="стекло б/ц  4мм"),R99,0)</f>
        <v>0</v>
      </c>
      <c r="S156" s="21">
        <f>IF(AND(H36="мателак",H38="стекло б/ц  4мм"),S99,0)</f>
        <v>0</v>
      </c>
      <c r="T156" s="21">
        <f>IF(AND(I36="мателак",I38="стекло б/ц  4мм"),T99,0)</f>
        <v>0</v>
      </c>
      <c r="U156" s="21">
        <f>IF(AND(J36="мателак",J38="стекло б/ц  4мм"),U99,0)</f>
        <v>0</v>
      </c>
    </row>
    <row r="157" spans="7:21" x14ac:dyDescent="0.25">
      <c r="M157" s="150" t="s">
        <v>149</v>
      </c>
      <c r="N157" s="21">
        <v>0</v>
      </c>
      <c r="O157" s="21">
        <f>IF(AND(C38="зеркало",C39="стекло б/ц  4мм"),O100,0)</f>
        <v>0</v>
      </c>
      <c r="P157" s="229">
        <f>IF(AND(B19="лакобель",B20="Лакобель категория 3"),P99,0)</f>
        <v>0</v>
      </c>
      <c r="Q157" s="21">
        <f t="shared" ref="Q157:U161" si="10">IF(AND(F38="мателак",F39="стекло б/ц  4мм"),Q100,0)</f>
        <v>0</v>
      </c>
      <c r="R157" s="21">
        <f t="shared" si="10"/>
        <v>0</v>
      </c>
      <c r="S157" s="21">
        <f t="shared" si="10"/>
        <v>0</v>
      </c>
      <c r="T157" s="21">
        <f t="shared" si="10"/>
        <v>0</v>
      </c>
      <c r="U157" s="21">
        <f t="shared" si="10"/>
        <v>0</v>
      </c>
    </row>
    <row r="158" spans="7:21" x14ac:dyDescent="0.25">
      <c r="M158" s="150" t="s">
        <v>152</v>
      </c>
      <c r="N158" s="21">
        <v>0</v>
      </c>
      <c r="O158" s="21">
        <f>IF(AND(C39="зеркало",C40="стекло б/ц  4мм"),O101,0)</f>
        <v>0</v>
      </c>
      <c r="P158" s="229">
        <f>IF(AND(B19="лакобель",B20="Лакобель категория 4"),P100,0)</f>
        <v>0</v>
      </c>
      <c r="Q158" s="21">
        <f t="shared" si="10"/>
        <v>0</v>
      </c>
      <c r="R158" s="21">
        <f t="shared" si="10"/>
        <v>0</v>
      </c>
      <c r="S158" s="21">
        <f t="shared" si="10"/>
        <v>0</v>
      </c>
      <c r="T158" s="21">
        <f t="shared" si="10"/>
        <v>0</v>
      </c>
      <c r="U158" s="21">
        <f t="shared" si="10"/>
        <v>0</v>
      </c>
    </row>
    <row r="159" spans="7:21" x14ac:dyDescent="0.25">
      <c r="M159" s="150" t="s">
        <v>153</v>
      </c>
      <c r="N159" s="21">
        <v>0</v>
      </c>
      <c r="O159" s="21">
        <f>IF(AND(C40="зеркало",C41="стекло б/ц  4мм"),O102,0)</f>
        <v>0</v>
      </c>
      <c r="P159" s="229">
        <f>IF(AND(B19="лакобель",B20="Лакобель/мателак категория 5"),P101,0)</f>
        <v>0</v>
      </c>
      <c r="Q159" s="21">
        <f t="shared" si="10"/>
        <v>0</v>
      </c>
      <c r="R159" s="21">
        <f t="shared" si="10"/>
        <v>0</v>
      </c>
      <c r="S159" s="21">
        <f t="shared" si="10"/>
        <v>0</v>
      </c>
      <c r="T159" s="21">
        <f t="shared" si="10"/>
        <v>0</v>
      </c>
      <c r="U159" s="21">
        <f t="shared" si="10"/>
        <v>0</v>
      </c>
    </row>
    <row r="160" spans="7:21" x14ac:dyDescent="0.25">
      <c r="M160" s="150" t="s">
        <v>155</v>
      </c>
      <c r="N160" s="21">
        <v>0</v>
      </c>
      <c r="O160" s="21">
        <f>IF(AND(C41="зеркало",C42="стекло б/ц  4мм"),O103,0)</f>
        <v>0</v>
      </c>
      <c r="P160" s="229">
        <f>IF(AND(B19="лакобель",B20="Лакобель/мателак категория 6"),P102,0)</f>
        <v>0</v>
      </c>
      <c r="Q160" s="21">
        <f t="shared" si="10"/>
        <v>0</v>
      </c>
      <c r="R160" s="21">
        <f t="shared" si="10"/>
        <v>0</v>
      </c>
      <c r="S160" s="21">
        <f t="shared" si="10"/>
        <v>0</v>
      </c>
      <c r="T160" s="21">
        <f t="shared" si="10"/>
        <v>0</v>
      </c>
      <c r="U160" s="21">
        <f t="shared" si="10"/>
        <v>0</v>
      </c>
    </row>
    <row r="161" spans="13:21" x14ac:dyDescent="0.25">
      <c r="M161" s="150" t="s">
        <v>157</v>
      </c>
      <c r="N161" s="21">
        <v>0</v>
      </c>
      <c r="O161" s="21">
        <f>IF(AND(C42="зеркало",C43="стекло б/ц  4мм"),O104,0)</f>
        <v>0</v>
      </c>
      <c r="P161" s="229">
        <f>IF(AND(B19="лакобель",B20="Лакобель/мателак категория 7"),P103,0)</f>
        <v>0</v>
      </c>
      <c r="Q161" s="21">
        <f t="shared" si="10"/>
        <v>0</v>
      </c>
      <c r="R161" s="21">
        <f t="shared" si="10"/>
        <v>0</v>
      </c>
      <c r="S161" s="21">
        <f t="shared" si="10"/>
        <v>0</v>
      </c>
      <c r="T161" s="21">
        <f t="shared" si="10"/>
        <v>0</v>
      </c>
      <c r="U161" s="21">
        <f t="shared" si="10"/>
        <v>0</v>
      </c>
    </row>
    <row r="162" spans="13:21" x14ac:dyDescent="0.25">
      <c r="M162" s="150" t="s">
        <v>162</v>
      </c>
      <c r="N162" s="21">
        <v>0</v>
      </c>
      <c r="O162" s="21">
        <f>IF(AND(C43="зеркало",C44="стекло б/ц  4мм"),O109,0)</f>
        <v>0</v>
      </c>
      <c r="P162" s="127">
        <v>0</v>
      </c>
      <c r="Q162" s="21">
        <f>IF(AND(F43="мателак",F44="стекло б/ц  4мм"),Q109,0)</f>
        <v>0</v>
      </c>
      <c r="R162" s="21">
        <f>IF(AND(G43="мателак",G44="стекло б/ц  4мм"),R109,0)</f>
        <v>0</v>
      </c>
      <c r="S162" s="21">
        <f>IF(AND(H43="мателак",H44="стекло б/ц  4мм"),S109,0)</f>
        <v>0</v>
      </c>
      <c r="T162" s="21">
        <f>IF(AND(I43="мателак",I44="стекло б/ц  4мм"),T109,0)</f>
        <v>0</v>
      </c>
      <c r="U162" s="21">
        <f>IF(AND(J43="мателак",J44="стекло б/ц  4мм"),U109,0)</f>
        <v>0</v>
      </c>
    </row>
    <row r="163" spans="13:21" x14ac:dyDescent="0.25">
      <c r="M163" s="151" t="s">
        <v>139</v>
      </c>
      <c r="N163" s="21">
        <v>0</v>
      </c>
      <c r="O163" s="21">
        <f>IF(AND(C44="зеркало",C45="стекло б/ц  4мм"),O110,0)</f>
        <v>0</v>
      </c>
      <c r="P163" s="21"/>
      <c r="Q163" s="230">
        <f>IF(AND(B19="лакомат",B20="лакомат"),Q105,0)</f>
        <v>25.059999999999995</v>
      </c>
      <c r="R163" s="21">
        <f>IF(AND(G44="мателак",G45="стекло б/ц  4мм"),R110,0)</f>
        <v>0</v>
      </c>
      <c r="S163" s="21">
        <f>IF(AND(H44="мателак",H45="стекло б/ц  4мм"),S110,0)</f>
        <v>0</v>
      </c>
      <c r="T163" s="21">
        <f>IF(AND(I44="мателак",I45="стекло б/ц  4мм"),T110,0)</f>
        <v>0</v>
      </c>
      <c r="U163" s="21">
        <f>IF(AND(J44="мателак",J45="стекло б/ц  4мм"),U110,0)</f>
        <v>0</v>
      </c>
    </row>
    <row r="164" spans="13:21" x14ac:dyDescent="0.25">
      <c r="M164" s="133" t="s">
        <v>106</v>
      </c>
      <c r="N164" s="21">
        <v>0</v>
      </c>
      <c r="O164" s="21">
        <f>IF(AND(C45="зеркало",C46="стекло б/ц  4мм"),O111,0)</f>
        <v>0</v>
      </c>
      <c r="P164" s="21"/>
      <c r="Q164" s="21">
        <f>IF(AND(F45="мателак",F46="стекло б/ц  4мм"),Q111,0)</f>
        <v>0</v>
      </c>
      <c r="R164" s="224">
        <f>IF(AND(B19="окрашенное_стекло",B20="окрашенное стекло  4мм"),R110,0)</f>
        <v>0</v>
      </c>
      <c r="S164" s="21">
        <f t="shared" ref="S164:U169" si="11">IF(AND(H45="мателак",H46="стекло б/ц  4мм"),S111,0)</f>
        <v>0</v>
      </c>
      <c r="T164" s="21">
        <f t="shared" si="11"/>
        <v>0</v>
      </c>
      <c r="U164" s="21">
        <f t="shared" si="11"/>
        <v>0</v>
      </c>
    </row>
    <row r="165" spans="13:21" x14ac:dyDescent="0.25">
      <c r="M165" s="127" t="s">
        <v>109</v>
      </c>
      <c r="N165" s="21">
        <v>0</v>
      </c>
      <c r="O165" s="21">
        <f>IF(AND(C46="зеркало",C47="стекло б/ц  4мм"),O112,0)</f>
        <v>0</v>
      </c>
      <c r="P165" s="21"/>
      <c r="Q165" s="21">
        <f t="shared" ref="Q165:Q169" si="12">IF(AND(F46="мателак",F47="стекло б/ц  4мм"),Q112,0)</f>
        <v>0</v>
      </c>
      <c r="R165" s="224">
        <f>IF(AND(B19="окрашенное_стекло",B20="окрашенное стекло  6мм"),R111,0)</f>
        <v>0</v>
      </c>
      <c r="S165" s="21">
        <f t="shared" si="11"/>
        <v>0</v>
      </c>
      <c r="T165" s="21">
        <f t="shared" si="11"/>
        <v>0</v>
      </c>
      <c r="U165" s="21">
        <f t="shared" si="11"/>
        <v>0</v>
      </c>
    </row>
    <row r="166" spans="13:21" x14ac:dyDescent="0.25">
      <c r="M166" s="127" t="s">
        <v>111</v>
      </c>
      <c r="N166" s="21">
        <v>0</v>
      </c>
      <c r="O166" s="21">
        <f>IF(AND(C47="зеркало",C48="стекло б/ц  4мм"),O113,0)</f>
        <v>0</v>
      </c>
      <c r="P166" s="21"/>
      <c r="Q166" s="21">
        <f t="shared" si="12"/>
        <v>0</v>
      </c>
      <c r="R166" s="224">
        <f>IF(AND($B$19="окрашенное_стекло",$B$20="окрашенное стекло + перламутр серебро  4мм"),R112,0)</f>
        <v>0</v>
      </c>
      <c r="S166" s="21">
        <f t="shared" si="11"/>
        <v>0</v>
      </c>
      <c r="T166" s="21">
        <f t="shared" si="11"/>
        <v>0</v>
      </c>
      <c r="U166" s="21">
        <f t="shared" si="11"/>
        <v>0</v>
      </c>
    </row>
    <row r="167" spans="13:21" x14ac:dyDescent="0.25">
      <c r="M167" s="127" t="s">
        <v>114</v>
      </c>
      <c r="N167" s="21">
        <v>0</v>
      </c>
      <c r="O167" s="21">
        <f>IF(AND(C48="зеркало",C58="стекло б/ц  4мм"),O114,0)</f>
        <v>0</v>
      </c>
      <c r="P167" s="21"/>
      <c r="Q167" s="21">
        <f t="shared" si="12"/>
        <v>0</v>
      </c>
      <c r="R167" s="224">
        <f>IF(AND($B$19="окрашенное_стекло",$B$20="окрашенное стекло + перламутр серебро 6мм"),R113,0)</f>
        <v>0</v>
      </c>
      <c r="S167" s="21">
        <f t="shared" si="11"/>
        <v>0</v>
      </c>
      <c r="T167" s="21">
        <f t="shared" si="11"/>
        <v>0</v>
      </c>
      <c r="U167" s="21">
        <f t="shared" si="11"/>
        <v>0</v>
      </c>
    </row>
    <row r="168" spans="13:21" x14ac:dyDescent="0.25">
      <c r="M168" s="127" t="s">
        <v>117</v>
      </c>
      <c r="N168" s="21">
        <v>0</v>
      </c>
      <c r="O168" s="21">
        <f>IF(AND(C58="зеркало",C64="стекло б/ц  4мм"),O115,0)</f>
        <v>0</v>
      </c>
      <c r="P168" s="21"/>
      <c r="Q168" s="21">
        <f t="shared" si="12"/>
        <v>0</v>
      </c>
      <c r="R168" s="224">
        <f>IF(AND($B$19="окрашенное_стекло",$B$20="окрашенное стекло + перламутр золото  4мм"),R114,0)</f>
        <v>0</v>
      </c>
      <c r="S168" s="21">
        <f t="shared" si="11"/>
        <v>0</v>
      </c>
      <c r="T168" s="21">
        <f t="shared" si="11"/>
        <v>0</v>
      </c>
      <c r="U168" s="21">
        <f t="shared" si="11"/>
        <v>0</v>
      </c>
    </row>
    <row r="169" spans="13:21" x14ac:dyDescent="0.25">
      <c r="M169" s="127" t="s">
        <v>120</v>
      </c>
      <c r="N169" s="21">
        <v>0</v>
      </c>
      <c r="O169" s="21">
        <f>IF(AND(C64="зеркало",C65="стекло б/ц  4мм"),O125,0)</f>
        <v>0</v>
      </c>
      <c r="P169" s="21"/>
      <c r="Q169" s="21">
        <f t="shared" si="12"/>
        <v>0</v>
      </c>
      <c r="R169" s="224">
        <f>IF(AND($B$19="окрашенное_стекло",$B$20="окрашенное стекло + перламутр золото  6мм"),R115,0)</f>
        <v>0</v>
      </c>
      <c r="S169" s="21">
        <f t="shared" si="11"/>
        <v>0</v>
      </c>
      <c r="T169" s="21">
        <f t="shared" si="11"/>
        <v>0</v>
      </c>
      <c r="U169" s="21">
        <f t="shared" si="11"/>
        <v>0</v>
      </c>
    </row>
    <row r="170" spans="13:21" x14ac:dyDescent="0.25">
      <c r="M170" s="127" t="s">
        <v>129</v>
      </c>
      <c r="N170" s="21">
        <v>0</v>
      </c>
      <c r="O170" s="21">
        <f>IF(AND(C57="зеркало",C59="стекло б/ц  4мм"),O117,0)</f>
        <v>0</v>
      </c>
      <c r="P170" s="21"/>
      <c r="Q170" s="21">
        <f>IF(AND(F51="мателак",F55="стекло б/ц  4мм"),Q117,0)</f>
        <v>0</v>
      </c>
      <c r="R170" s="224">
        <f>IF(AND($B$19="окрашенное_стекло",$B$20="стеклоосветленное окрашенное по периметру для Z12 белый глянец"),R116,0)</f>
        <v>0</v>
      </c>
      <c r="S170" s="21">
        <f>IF(AND(H51="мателак",H55="стекло б/ц  4мм"),S117,0)</f>
        <v>0</v>
      </c>
      <c r="T170" s="21">
        <f>IF(AND(I51="мателак",I55="стекло б/ц  4мм"),T117,0)</f>
        <v>0</v>
      </c>
      <c r="U170" s="21">
        <f>IF(AND(J51="мателак",J55="стекло б/ц  4мм"),U117,0)</f>
        <v>0</v>
      </c>
    </row>
    <row r="171" spans="13:21" x14ac:dyDescent="0.25">
      <c r="M171" s="127" t="s">
        <v>132</v>
      </c>
      <c r="N171" s="21">
        <v>0</v>
      </c>
      <c r="O171" s="21">
        <f>IF(AND(C59="зеркало",C67="стекло б/ц  4мм"),O118,0)</f>
        <v>0</v>
      </c>
      <c r="P171" s="21"/>
      <c r="Q171" s="21">
        <f>IF(AND(F55="мателак",F57="стекло б/ц  4мм"),Q118,0)</f>
        <v>0</v>
      </c>
      <c r="R171" s="224">
        <f>IF(AND($B$19="окрашенное_стекло",$B$20="стекло б/ц окрашенное по периметру для Z12 белый глянец"),R117,0)</f>
        <v>0</v>
      </c>
      <c r="S171" s="21">
        <f>IF(AND(H50="мателак",H51="стекло б/ц  4мм"),S118,0)</f>
        <v>0</v>
      </c>
      <c r="T171" s="21">
        <f>IF(AND(I50="мателак",I51="стекло б/ц  4мм"),T118,0)</f>
        <v>0</v>
      </c>
      <c r="U171" s="21">
        <f>IF(AND(J50="мателак",J51="стекло б/ц  4мм"),U118,0)</f>
        <v>0</v>
      </c>
    </row>
    <row r="172" spans="13:21" x14ac:dyDescent="0.25">
      <c r="M172" s="127" t="s">
        <v>134</v>
      </c>
      <c r="N172" s="21">
        <v>0</v>
      </c>
      <c r="O172" s="21">
        <f>IF(AND(C67="зеркало",C68="стекло б/ц  4мм"),O132,0)</f>
        <v>0</v>
      </c>
      <c r="P172" s="21"/>
      <c r="Q172" s="21">
        <f>IF(AND(F57="мателак",F58="стекло б/ц  4мм"),Q119,0)</f>
        <v>0</v>
      </c>
      <c r="R172" s="224">
        <f>IF(AND($B$19="окрашенное_стекло",$B$20="стекло графит окрашенное по периметру для Z12 коньяк"),R118,0)</f>
        <v>0</v>
      </c>
      <c r="S172" s="21">
        <f>IF(AND(H51="мателак",H58="стекло б/ц  4мм"),S119,0)</f>
        <v>0</v>
      </c>
      <c r="T172" s="21">
        <f>IF(AND(I51="мателак",I58="стекло б/ц  4мм"),T119,0)</f>
        <v>0</v>
      </c>
      <c r="U172" s="21">
        <f>IF(AND(J51="мателак",J58="стекло б/ц  4мм"),U119,0)</f>
        <v>0</v>
      </c>
    </row>
    <row r="173" spans="13:21" x14ac:dyDescent="0.25">
      <c r="M173" s="127" t="s">
        <v>135</v>
      </c>
      <c r="N173" s="21">
        <v>0</v>
      </c>
      <c r="O173" s="21">
        <f>IF(AND(C68="зеркало",C69="стекло б/ц  4мм"),O133,0)</f>
        <v>0</v>
      </c>
      <c r="P173" s="21"/>
      <c r="Q173" s="21">
        <f>IF(AND(F58="мателак",F59="стекло б/ц  4мм"),Q125,0)</f>
        <v>0</v>
      </c>
      <c r="R173" s="224">
        <f>IF(AND($B$19="окрашенное_стекло",$B$20="стекло темный Графит окрашенное по периметру для Z12 коньяк"),R119,0)</f>
        <v>0</v>
      </c>
      <c r="S173" s="21">
        <f>IF(AND(H58="мателак",H59="стекло б/ц  4мм"),S125,0)</f>
        <v>0</v>
      </c>
      <c r="T173" s="21">
        <f>IF(AND(I58="мателак",I59="стекло б/ц  4мм"),T125,0)</f>
        <v>0</v>
      </c>
      <c r="U173" s="21">
        <f>IF(AND(J58="мателак",J59="стекло б/ц  4мм"),U125,0)</f>
        <v>0</v>
      </c>
    </row>
    <row r="174" spans="13:21" x14ac:dyDescent="0.25">
      <c r="M174" s="127" t="s">
        <v>62</v>
      </c>
      <c r="N174" s="21">
        <v>0</v>
      </c>
      <c r="O174" s="21">
        <f>IF(AND(C62="зеркало",C70="стекло б/ц  4мм"),O126,0)</f>
        <v>0</v>
      </c>
      <c r="P174" s="21"/>
      <c r="Q174" s="21">
        <f>IF(AND(F59="мателак",F60="стекло б/ц  4мм"),Q126,0)</f>
        <v>0</v>
      </c>
      <c r="R174" s="21"/>
      <c r="S174" s="228">
        <f>IF(AND($B$19="фотопечать",$B$20="стекло б/ц  4мм"),S124,0)</f>
        <v>0</v>
      </c>
      <c r="T174" s="21">
        <f>IF(AND(I59="мателак",I60="стекло б/ц  4мм"),T126,0)</f>
        <v>0</v>
      </c>
      <c r="U174" s="21">
        <f>IF(AND(J59="мателак",J60="стекло б/ц  4мм"),U126,0)</f>
        <v>0</v>
      </c>
    </row>
    <row r="175" spans="13:21" x14ac:dyDescent="0.25">
      <c r="M175" s="127" t="s">
        <v>100</v>
      </c>
      <c r="N175" s="21">
        <v>0</v>
      </c>
      <c r="O175" s="21">
        <f>IF(AND(C70="зеркало",C71="стекло б/ц  4мм"),#REF!,0)</f>
        <v>0</v>
      </c>
      <c r="P175" s="21"/>
      <c r="Q175" s="21">
        <f>IF(AND(F60="мателак",F61="стекло б/ц  4мм"),Q127,0)</f>
        <v>0</v>
      </c>
      <c r="R175" s="21"/>
      <c r="S175" s="228">
        <f>IF(AND($B$19="фотопечать",$B$20="стекло б/ц  6мм"),S125,0)</f>
        <v>0</v>
      </c>
      <c r="T175" s="21">
        <f>IF(AND(I60="мателак",I61="стекло б/ц  4мм"),T127,0)</f>
        <v>0</v>
      </c>
      <c r="U175" s="21">
        <f>IF(AND(J60="мателак",J61="стекло б/ц  4мм"),U127,0)</f>
        <v>0</v>
      </c>
    </row>
    <row r="176" spans="13:21" x14ac:dyDescent="0.25">
      <c r="M176" s="127" t="s">
        <v>102</v>
      </c>
      <c r="N176" s="21">
        <v>0</v>
      </c>
      <c r="O176" s="21">
        <f>IF(AND(C61="зеркало",C65="стекло б/ц  4мм"),O132,0)</f>
        <v>0</v>
      </c>
      <c r="P176" s="21"/>
      <c r="Q176" s="21">
        <f>IF(AND(F61="мателак",F62="стекло б/ц  4мм"),Q132,0)</f>
        <v>0</v>
      </c>
      <c r="R176" s="21"/>
      <c r="S176" s="228">
        <f>IF(AND($B$19="фотопечать",$B$20="стекло осветленное  4мм"),S126,0)</f>
        <v>0</v>
      </c>
      <c r="T176" s="21">
        <f>IF(AND(I61="мателак",I62="стекло б/ц  4мм"),T132,0)</f>
        <v>0</v>
      </c>
      <c r="U176" s="21">
        <f>IF(AND(J61="мателак",J62="стекло б/ц  4мм"),U132,0)</f>
        <v>0</v>
      </c>
    </row>
    <row r="177" spans="13:21" x14ac:dyDescent="0.25">
      <c r="M177" s="127" t="s">
        <v>105</v>
      </c>
      <c r="N177" s="127"/>
      <c r="O177" s="21">
        <v>0</v>
      </c>
      <c r="P177" s="21"/>
      <c r="Q177" s="21">
        <v>0</v>
      </c>
      <c r="R177" s="21"/>
      <c r="S177" s="228">
        <f>IF(AND($B$19="фотопечать",$B$20="стекло осветленное  6мм"),S127,0)</f>
        <v>0</v>
      </c>
      <c r="T177" s="22">
        <v>0</v>
      </c>
      <c r="U177" s="22">
        <v>0</v>
      </c>
    </row>
    <row r="178" spans="13:21" x14ac:dyDescent="0.25">
      <c r="M178" s="127" t="s">
        <v>108</v>
      </c>
      <c r="N178" s="224">
        <f>IF(AND(B19="стекло",B20="Стекло Стопсол  ГРЕЙ Stopsol Phoenix 4 мм"),N128,0)</f>
        <v>0</v>
      </c>
      <c r="O178" s="21">
        <v>0</v>
      </c>
      <c r="P178" s="21"/>
      <c r="Q178" s="21">
        <v>0</v>
      </c>
      <c r="R178" s="21"/>
      <c r="S178" s="127"/>
      <c r="T178" s="22">
        <v>0</v>
      </c>
      <c r="U178" s="22">
        <v>0</v>
      </c>
    </row>
    <row r="179" spans="13:21" x14ac:dyDescent="0.25">
      <c r="M179" s="127" t="s">
        <v>110</v>
      </c>
      <c r="N179" s="224">
        <f>IF(AND(B19="стекло",B20="Стекло Стопсол  БРОНЗА Stopsol Phoenix 4 мм"),N129,0)</f>
        <v>0</v>
      </c>
      <c r="O179" s="21">
        <v>0</v>
      </c>
      <c r="P179" s="21"/>
      <c r="Q179" s="21">
        <v>0</v>
      </c>
      <c r="R179" s="127"/>
      <c r="S179" s="127"/>
      <c r="T179" s="22">
        <v>0</v>
      </c>
      <c r="U179" s="22">
        <v>0</v>
      </c>
    </row>
    <row r="180" spans="13:21" x14ac:dyDescent="0.25">
      <c r="M180" s="127" t="s">
        <v>123</v>
      </c>
      <c r="N180" s="21">
        <v>0</v>
      </c>
      <c r="O180" s="21">
        <v>0</v>
      </c>
      <c r="P180" s="21"/>
      <c r="Q180" s="21">
        <v>0</v>
      </c>
      <c r="R180" s="224">
        <f>IF(AND($B$19="окрашенное_стекло",$B$20="Стекло Стопсол  ГРЕЙ Stopsol Phoenix окрашенное по периметру для Z12 4 мм"),R130,0)</f>
        <v>0</v>
      </c>
      <c r="S180" s="127"/>
      <c r="T180" s="22">
        <v>0</v>
      </c>
      <c r="U180" s="22">
        <v>0</v>
      </c>
    </row>
    <row r="181" spans="13:21" x14ac:dyDescent="0.25">
      <c r="M181" s="127" t="s">
        <v>126</v>
      </c>
      <c r="N181" s="21">
        <v>0</v>
      </c>
      <c r="O181" s="21">
        <f>IF(AND(C65="зеркало",C73="стекло б/ц  4мм"),O133,0)</f>
        <v>0</v>
      </c>
      <c r="P181" s="21"/>
      <c r="Q181" s="21">
        <f>IF(AND(F62="мателак",F63="стекло б/ц  4мм"),Q133,0)</f>
        <v>0</v>
      </c>
      <c r="R181" s="224">
        <f>IF(AND($B$19="окрашенное_стекло",$B$20="Стекло Стопсол  БРОНЗА Stopsol Phoenix окрашенное по периметру для Z12 4 мм"),R131,0)</f>
        <v>0</v>
      </c>
      <c r="S181" s="127"/>
      <c r="T181" s="21">
        <f>IF(AND(I62="мателак",I63="стекло б/ц  4мм"),T133,0)</f>
        <v>0</v>
      </c>
      <c r="U181" s="21">
        <f>IF(AND(J62="мателак",J63="стекло б/ц  4мм"),U133,0)</f>
        <v>0</v>
      </c>
    </row>
    <row r="182" spans="13:21" x14ac:dyDescent="0.25">
      <c r="M182" s="127" t="s">
        <v>141</v>
      </c>
      <c r="N182" s="21">
        <v>0</v>
      </c>
      <c r="O182" s="21">
        <f>IF(AND(C73="зеркало",C74="стекло б/ц  4мм"),O139,0)</f>
        <v>0</v>
      </c>
      <c r="P182" s="21"/>
      <c r="Q182" s="21">
        <f>IF(AND(F63="мателак",F64="стекло б/ц  4мм"),#REF!,0)</f>
        <v>0</v>
      </c>
      <c r="R182" s="21"/>
      <c r="S182" s="21">
        <f>IF(AND(H63="мателак",H64="стекло б/ц  4мм"),#REF!,0)</f>
        <v>0</v>
      </c>
      <c r="T182" s="231">
        <f>IF(AND(B19="кожа",B20="кожа"),T132,0)</f>
        <v>0</v>
      </c>
      <c r="U182" s="21">
        <f>IF(AND(J63="мателак",J64="стекло б/ц  4мм"),#REF!,0)</f>
        <v>0</v>
      </c>
    </row>
    <row r="183" spans="13:21" x14ac:dyDescent="0.25">
      <c r="M183" s="21" t="s">
        <v>142</v>
      </c>
      <c r="N183" s="21">
        <v>0</v>
      </c>
      <c r="O183" s="21">
        <f>IF(AND(C64="зеркало",C68="стекло б/ц  4мм"),#REF!,0)</f>
        <v>0</v>
      </c>
      <c r="P183" s="21"/>
      <c r="Q183" s="21">
        <f>IF(AND(F64="мателак",F65="стекло б/ц  4мм"),#REF!,0)</f>
        <v>0</v>
      </c>
      <c r="R183" s="21"/>
      <c r="S183" s="21">
        <f>IF(AND(H64="мателак",H65="стекло б/ц  4мм"),#REF!,0)</f>
        <v>0</v>
      </c>
      <c r="T183" s="21">
        <f>IF(AND(I64="мателак",I65="стекло б/ц  4мм"),#REF!,0)</f>
        <v>0</v>
      </c>
      <c r="U183" s="230">
        <f>IF(AND(B19="камень",B20="камень"),U133,0)</f>
        <v>0</v>
      </c>
    </row>
  </sheetData>
  <sheetProtection algorithmName="SHA-512" hashValue="aWx9N6x3yHVr0YmPvdSkhZRt6SE0VzZQq97eG8YPEl8pVs9/cJeky8/tMLDpM1enI/L1mipjGYo5+JSBSBSI2A==" saltValue="NT0TrCgjwumprhb59WP8iQ==" spinCount="100000" sheet="1" objects="1" scenarios="1"/>
  <protectedRanges>
    <protectedRange sqref="B31" name="Диапазон6"/>
    <protectedRange sqref="B27:B29" name="Диапазон5"/>
    <protectedRange sqref="B22:B25" name="Диапазон4"/>
    <protectedRange sqref="B19:B20" name="Диапазон3"/>
    <protectedRange sqref="B14:B15" name="Диапазон2"/>
    <protectedRange sqref="B8:B10" name="Диапазон1"/>
  </protectedRanges>
  <dataConsolidate/>
  <mergeCells count="75">
    <mergeCell ref="A1:K1"/>
    <mergeCell ref="A2:K2"/>
    <mergeCell ref="AB3:AF3"/>
    <mergeCell ref="AB4:AF5"/>
    <mergeCell ref="D6:I7"/>
    <mergeCell ref="J6:J7"/>
    <mergeCell ref="AB6:AF6"/>
    <mergeCell ref="D27:I27"/>
    <mergeCell ref="D9:F9"/>
    <mergeCell ref="H9:J10"/>
    <mergeCell ref="D10:F15"/>
    <mergeCell ref="H12:J13"/>
    <mergeCell ref="D19:F19"/>
    <mergeCell ref="H19:I19"/>
    <mergeCell ref="D20:F21"/>
    <mergeCell ref="H20:I21"/>
    <mergeCell ref="AB20:AF20"/>
    <mergeCell ref="D23:F23"/>
    <mergeCell ref="D24:F25"/>
    <mergeCell ref="A83:A86"/>
    <mergeCell ref="E83:H83"/>
    <mergeCell ref="E84:H84"/>
    <mergeCell ref="E85:H85"/>
    <mergeCell ref="E86:H86"/>
    <mergeCell ref="G45:H45"/>
    <mergeCell ref="G46:H46"/>
    <mergeCell ref="G50:H50"/>
    <mergeCell ref="G51:H51"/>
    <mergeCell ref="E82:H82"/>
    <mergeCell ref="E87:H87"/>
    <mergeCell ref="A88:A93"/>
    <mergeCell ref="E88:H88"/>
    <mergeCell ref="E89:H89"/>
    <mergeCell ref="E90:H90"/>
    <mergeCell ref="E91:H91"/>
    <mergeCell ref="E92:H92"/>
    <mergeCell ref="E93:H93"/>
    <mergeCell ref="A109:B109"/>
    <mergeCell ref="E109:H109"/>
    <mergeCell ref="A94:A95"/>
    <mergeCell ref="E94:H94"/>
    <mergeCell ref="E95:H95"/>
    <mergeCell ref="A96:A100"/>
    <mergeCell ref="E96:H96"/>
    <mergeCell ref="E97:H97"/>
    <mergeCell ref="E98:H98"/>
    <mergeCell ref="E99:H99"/>
    <mergeCell ref="E100:H100"/>
    <mergeCell ref="A103:A104"/>
    <mergeCell ref="E105:H105"/>
    <mergeCell ref="E106:H106"/>
    <mergeCell ref="E107:H107"/>
    <mergeCell ref="E108:H108"/>
    <mergeCell ref="D125:J125"/>
    <mergeCell ref="E110:H110"/>
    <mergeCell ref="E111:H111"/>
    <mergeCell ref="E112:H112"/>
    <mergeCell ref="E114:H114"/>
    <mergeCell ref="E115:H115"/>
    <mergeCell ref="B120:J120"/>
    <mergeCell ref="B121:J121"/>
    <mergeCell ref="B122:J122"/>
    <mergeCell ref="B123:J123"/>
    <mergeCell ref="B124:E124"/>
    <mergeCell ref="F124:H124"/>
    <mergeCell ref="A132:J132"/>
    <mergeCell ref="A133:J133"/>
    <mergeCell ref="A134:J134"/>
    <mergeCell ref="A135:J135"/>
    <mergeCell ref="A126:A127"/>
    <mergeCell ref="B126:B127"/>
    <mergeCell ref="C126:J127"/>
    <mergeCell ref="B128:J128"/>
    <mergeCell ref="A130:J130"/>
    <mergeCell ref="A131:J131"/>
  </mergeCells>
  <dataValidations count="8">
    <dataValidation type="list" allowBlank="1" showInputMessage="1" showErrorMessage="1" sqref="B15:B17">
      <formula1>INDIRECT($B$14)</formula1>
    </dataValidation>
    <dataValidation type="list" allowBlank="1" showInputMessage="1" showErrorMessage="1" sqref="B20">
      <formula1>INDIRECT($B$19)</formula1>
    </dataValidation>
    <dataValidation type="list" allowBlank="1" showInputMessage="1" showErrorMessage="1" sqref="B19">
      <formula1>$N$58:$U$58</formula1>
    </dataValidation>
    <dataValidation type="list" allowBlank="1" showInputMessage="1" showErrorMessage="1" sqref="B14">
      <formula1>$O$3:$Z$3</formula1>
    </dataValidation>
    <dataValidation type="list" allowBlank="1" showInputMessage="1" showErrorMessage="1" sqref="B22">
      <formula1>$K$41:$K$42</formula1>
    </dataValidation>
    <dataValidation type="list" allowBlank="1" showInputMessage="1" showErrorMessage="1" sqref="B27">
      <formula1>$G$47:$G$49</formula1>
    </dataValidation>
    <dataValidation type="list" allowBlank="1" showInputMessage="1" showErrorMessage="1" sqref="B31">
      <formula1>$C$69:$C$72</formula1>
    </dataValidation>
    <dataValidation type="list" allowBlank="1" showInputMessage="1" showErrorMessage="1" sqref="B28">
      <formula1>$G$50:$G$51</formula1>
    </dataValidation>
  </dataValidations>
  <hyperlinks>
    <hyperlink ref="A131" r:id="rId1"/>
  </hyperlinks>
  <pageMargins left="0.7" right="0.7" top="0.75" bottom="0.75" header="0.3" footer="0.3"/>
  <pageSetup paperSize="9" scale="18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39</vt:i4>
      </vt:variant>
    </vt:vector>
  </HeadingPairs>
  <TitlesOfParts>
    <vt:vector size="40" baseType="lpstr">
      <vt:lpstr>Z_фасады_Офис</vt:lpstr>
      <vt:lpstr>Z_фасады_Офис!MF_20</vt:lpstr>
      <vt:lpstr>Z_фасады_Офис!MF_30</vt:lpstr>
      <vt:lpstr>Z_фасады_Офис!MZ_1</vt:lpstr>
      <vt:lpstr>Z_фасады_Офис!MZ_10</vt:lpstr>
      <vt:lpstr>Z_фасады_Офис!MZ_12</vt:lpstr>
      <vt:lpstr>Z_фасады_Офис!MZ_12_new</vt:lpstr>
      <vt:lpstr>Z_фасады_Офис!MZ_13</vt:lpstr>
      <vt:lpstr>Z_фасады_Офис!MZ_17</vt:lpstr>
      <vt:lpstr>Z_фасады_Офис!MZ_2</vt:lpstr>
      <vt:lpstr>Z_фасады_Офис!MZ_3</vt:lpstr>
      <vt:lpstr>Z_фасады_Офис!MZ_4</vt:lpstr>
      <vt:lpstr>Z_фасады_Офис!MZ_7</vt:lpstr>
      <vt:lpstr>Z_фасады_Офис!MZ_9</vt:lpstr>
      <vt:lpstr>Z_фасады_Офис!Z_1</vt:lpstr>
      <vt:lpstr>Z_фасады_Офис!Z_12</vt:lpstr>
      <vt:lpstr>Z_фасады_Офис!Z_13</vt:lpstr>
      <vt:lpstr>Z_фасады_Офис!Z_15</vt:lpstr>
      <vt:lpstr>Z_фасады_Офис!Z_1515</vt:lpstr>
      <vt:lpstr>Z_фасады_Офис!Z_17</vt:lpstr>
      <vt:lpstr>Z_фасады_Офис!Z_1старый</vt:lpstr>
      <vt:lpstr>Z_фасады_Офис!Z_2018</vt:lpstr>
      <vt:lpstr>Z_фасады_Офис!Z_3</vt:lpstr>
      <vt:lpstr>Z_фасады_Офис!Z_4</vt:lpstr>
      <vt:lpstr>Z_фасады_Офис!Z_9</vt:lpstr>
      <vt:lpstr>Z_фасады_Офис!Z12_new</vt:lpstr>
      <vt:lpstr>Z_фасады_Офис!гравировка</vt:lpstr>
      <vt:lpstr>Z_фасады_Офис!зеркало</vt:lpstr>
      <vt:lpstr>Z_фасады_Офис!камень</vt:lpstr>
      <vt:lpstr>Z_фасады_Офис!кожа</vt:lpstr>
      <vt:lpstr>Z_фасады_Офис!лакобель</vt:lpstr>
      <vt:lpstr>Z_фасады_Офис!лакомат</vt:lpstr>
      <vt:lpstr>Z_фасады_Офис!мателак</vt:lpstr>
      <vt:lpstr>Z_фасады_Офис!окрашенное_стекло</vt:lpstr>
      <vt:lpstr>Z_фасады_Офис!пескоструй</vt:lpstr>
      <vt:lpstr>Z_фасады_Офис!серебро</vt:lpstr>
      <vt:lpstr>Z_фасады_Офис!стекло</vt:lpstr>
      <vt:lpstr>Z_фасады_Офис!фотопечать</vt:lpstr>
      <vt:lpstr>Z_фасады_Офис!цвет_профиля</vt:lpstr>
      <vt:lpstr>Z_фасады_Офис!цвет_профиля2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Тимченко</dc:creator>
  <cp:lastModifiedBy>Сергей Тимченко</cp:lastModifiedBy>
  <dcterms:created xsi:type="dcterms:W3CDTF">2022-01-18T09:39:24Z</dcterms:created>
  <dcterms:modified xsi:type="dcterms:W3CDTF">2022-01-18T10:04:32Z</dcterms:modified>
</cp:coreProperties>
</file>